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drawings/drawing14.xml" ContentType="application/vnd.openxmlformats-officedocument.drawing+xml"/>
  <Override PartName="/xl/worksheets/sheet35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6.xml" ContentType="application/vnd.openxmlformats-officedocument.drawing+xml"/>
  <Override PartName="/xl/worksheets/sheet38.xml" ContentType="application/vnd.openxmlformats-officedocument.spreadsheetml.worksheet+xml"/>
  <Override PartName="/xl/drawings/drawing17.xml" ContentType="application/vnd.openxmlformats-officedocument.drawing+xml"/>
  <Override PartName="/xl/worksheets/sheet39.xml" ContentType="application/vnd.openxmlformats-officedocument.spreadsheetml.worksheet+xml"/>
  <Override PartName="/xl/drawings/drawing18.xml" ContentType="application/vnd.openxmlformats-officedocument.drawing+xml"/>
  <Override PartName="/xl/worksheets/sheet40.xml" ContentType="application/vnd.openxmlformats-officedocument.spreadsheetml.worksheet+xml"/>
  <Override PartName="/xl/drawings/drawing19.xml" ContentType="application/vnd.openxmlformats-officedocument.drawing+xml"/>
  <Override PartName="/xl/worksheets/sheet4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965" windowWidth="19155" windowHeight="11625" activeTab="0"/>
  </bookViews>
  <sheets>
    <sheet name="2.1 Marketing Survey" sheetId="1" r:id="rId1"/>
    <sheet name="3.1 Farm Management" sheetId="2" r:id="rId2"/>
    <sheet name="3.2 Diet Problem" sheetId="3" r:id="rId3"/>
    <sheet name="3.3 Bidding for Classes" sheetId="4" r:id="rId4"/>
    <sheet name="3.3c Bidding for Classes" sheetId="5" r:id="rId5"/>
    <sheet name="3.5 Cutting Stock" sheetId="6" r:id="rId6"/>
    <sheet name="3.4 Blending Nuts" sheetId="7" r:id="rId7"/>
    <sheet name="4.1 Production and Inventory" sheetId="8" r:id="rId8"/>
    <sheet name="4.2 Hiring Firing Training" sheetId="9" r:id="rId9"/>
    <sheet name="5. Sensitivity Analysis" sheetId="10" r:id="rId10"/>
    <sheet name="Sensitivity Report" sheetId="11" r:id="rId11"/>
    <sheet name="5h. Sensitivity Analysis ST" sheetId="12" r:id="rId12"/>
    <sheet name="Sensitivity Report 4" sheetId="13" r:id="rId13"/>
    <sheet name="6.1 Distribution" sheetId="14" r:id="rId14"/>
    <sheet name="7.1 Capital Budgeting" sheetId="15" r:id="rId15"/>
    <sheet name="7.2 Search&amp;Rescue" sheetId="16" r:id="rId16"/>
    <sheet name="7.3 Warehouse Location" sheetId="17" r:id="rId17"/>
    <sheet name="8.1a Airline Demand" sheetId="18" r:id="rId18"/>
    <sheet name="8.1b Airline Pricing" sheetId="19" r:id="rId19"/>
    <sheet name="8.1c Airline Pricing" sheetId="20" r:id="rId20"/>
    <sheet name="9.1a" sheetId="21" r:id="rId21"/>
    <sheet name="9.1b" sheetId="22" r:id="rId22"/>
    <sheet name="Posterior Probabilities" sheetId="23" r:id="rId23"/>
    <sheet name="9.2a" sheetId="24" r:id="rId24"/>
    <sheet name="9.2c" sheetId="25" r:id="rId25"/>
    <sheet name="11.1a" sheetId="26" r:id="rId26"/>
    <sheet name="11.1b" sheetId="27" r:id="rId27"/>
    <sheet name="11.1c" sheetId="28" r:id="rId28"/>
    <sheet name="11.1d" sheetId="29" r:id="rId29"/>
    <sheet name="11.1e" sheetId="30" r:id="rId30"/>
    <sheet name="10.1a Last Value" sheetId="31" r:id="rId31"/>
    <sheet name="10.1a Averaging" sheetId="32" r:id="rId32"/>
    <sheet name="10.1a Moving Average" sheetId="33" r:id="rId33"/>
    <sheet name="10.1a Exponential Smoothing" sheetId="34" r:id="rId34"/>
    <sheet name="10.1a Exponential with Trend" sheetId="35" r:id="rId35"/>
    <sheet name="10.1b" sheetId="36" r:id="rId36"/>
    <sheet name="10.1c Last Value" sheetId="37" r:id="rId37"/>
    <sheet name="10.1c Averaging" sheetId="38" r:id="rId38"/>
    <sheet name="10.1c Moving Average" sheetId="39" r:id="rId39"/>
    <sheet name="10.1c Expon Smoothing" sheetId="40" r:id="rId40"/>
    <sheet name="10.1c Exponential Trend" sheetId="41" r:id="rId41"/>
  </sheets>
  <externalReferences>
    <externalReference r:id="rId44"/>
    <externalReference r:id="rId45"/>
    <externalReference r:id="rId46"/>
  </externalReferences>
  <definedNames>
    <definedName name="__123Graph_A" localSheetId="9" hidden="1">'[3]Intro'!$M$26:$M$66</definedName>
    <definedName name="__123Graph_A" localSheetId="11" hidden="1">'[3]Intro'!$M$26:$M$66</definedName>
    <definedName name="__123Graph_A" hidden="1">'[2]Intro'!$M$26:$M$66</definedName>
    <definedName name="__123Graph_AFNTPOP" localSheetId="9" hidden="1">'[3]Intro'!$O$86:$O$126</definedName>
    <definedName name="__123Graph_AFNTPOP" localSheetId="11" hidden="1">'[3]Intro'!$O$86:$O$126</definedName>
    <definedName name="__123Graph_AFNTPOP" hidden="1">'[2]Intro'!$O$86:$O$126</definedName>
    <definedName name="__123Graph_AFNTQUE" localSheetId="9" hidden="1">'[3]Intro'!$AJ$65:$AJ$105</definedName>
    <definedName name="__123Graph_AFNTQUE" localSheetId="11" hidden="1">'[3]Intro'!$AJ$65:$AJ$105</definedName>
    <definedName name="__123Graph_AFNTQUE" hidden="1">'[2]Intro'!$AJ$65:$AJ$105</definedName>
    <definedName name="__123Graph_AMMS" localSheetId="9" hidden="1">'[3]Intro'!$M$26:$M$66</definedName>
    <definedName name="__123Graph_AMMS" localSheetId="11" hidden="1">'[3]Intro'!$M$26:$M$66</definedName>
    <definedName name="__123Graph_AMMS" hidden="1">'[2]Intro'!$M$26:$M$66</definedName>
    <definedName name="__123Graph_X" localSheetId="9" hidden="1">'[3]Intro'!$K$26:$K$66</definedName>
    <definedName name="__123Graph_X" localSheetId="11" hidden="1">'[3]Intro'!$K$26:$K$66</definedName>
    <definedName name="__123Graph_X" hidden="1">'[2]Intro'!$K$26:$K$66</definedName>
    <definedName name="__123Graph_XFNTPOP" localSheetId="9" hidden="1">'[3]Intro'!$M$86:$M$126</definedName>
    <definedName name="__123Graph_XFNTPOP" localSheetId="11" hidden="1">'[3]Intro'!$M$86:$M$126</definedName>
    <definedName name="__123Graph_XFNTPOP" hidden="1">'[2]Intro'!$M$86:$M$126</definedName>
    <definedName name="__123Graph_XFNTQUE" localSheetId="9" hidden="1">'[3]Intro'!$AI$65:$AI$105</definedName>
    <definedName name="__123Graph_XFNTQUE" localSheetId="11" hidden="1">'[3]Intro'!$AI$65:$AI$105</definedName>
    <definedName name="__123Graph_XFNTQUE" hidden="1">'[2]Intro'!$AI$65:$AI$105</definedName>
    <definedName name="__123Graph_XMMS" localSheetId="9" hidden="1">'[3]Intro'!$K$26:$K$66</definedName>
    <definedName name="__123Graph_XMMS" localSheetId="11" hidden="1">'[3]Intro'!$K$26:$K$66</definedName>
    <definedName name="__123Graph_XMMS" hidden="1">'[2]Intro'!$K$26:$K$66</definedName>
    <definedName name="A" localSheetId="24">1</definedName>
    <definedName name="ActualForecast" localSheetId="37">'10.1c Averaging'!$G$6:$G$75</definedName>
    <definedName name="ActualForecast" localSheetId="39">'10.1c Expon Smoothing'!$G$6:$G$75</definedName>
    <definedName name="ActualForecast" localSheetId="40">'10.1c Exponential Trend'!$I$6:$I$75</definedName>
    <definedName name="ActualForecast" localSheetId="38">'10.1c Moving Average'!$G$6:$G$75</definedName>
    <definedName name="ActualForecast">'10.1c Last Value'!$G$6:$G$75</definedName>
    <definedName name="AFinish">'[1]Global Oil LP'!$I$5</definedName>
    <definedName name="Alpha" localSheetId="34">'10.1a Exponential with Trend'!$J$6</definedName>
    <definedName name="Alpha" localSheetId="39">'10.1c Expon Smoothing'!$K$5</definedName>
    <definedName name="Alpha" localSheetId="40">'10.1c Exponential Trend'!$M$5</definedName>
    <definedName name="Alpha">'10.1a Exponential Smoothing'!$H$6</definedName>
    <definedName name="anscount" localSheetId="9" hidden="1">18</definedName>
    <definedName name="anscount" localSheetId="11" hidden="1">18</definedName>
    <definedName name="anscount" hidden="1">1</definedName>
    <definedName name="AStart">'[1]Global Oil LP'!$G$5</definedName>
    <definedName name="Available">#REF!</definedName>
    <definedName name="B" localSheetId="24">1</definedName>
    <definedName name="Beta" localSheetId="34">'10.1a Exponential with Trend'!$J$7</definedName>
    <definedName name="Beta" localSheetId="40">'10.1c Exponential Trend'!$M$6</definedName>
    <definedName name="beta">#REF!</definedName>
    <definedName name="BFinish">'[1]Global Oil LP'!$I$6</definedName>
    <definedName name="BillOfMaterials">#REF!</definedName>
    <definedName name="BondFlow">#REF!</definedName>
    <definedName name="BStart">'[1]Global Oil LP'!$G$6</definedName>
    <definedName name="CFinish">'[1]Global Oil LP'!$I$7</definedName>
    <definedName name="CostOfService">'11.1c'!$C$18</definedName>
    <definedName name="CostOfWaiting">'11.1c'!$C$19</definedName>
    <definedName name="Cs">'11.1c'!$C$15</definedName>
    <definedName name="CStart">'[1]Global Oil LP'!$G$7</definedName>
    <definedName name="Cw">'11.1c'!$C$16</definedName>
    <definedName name="DFinish">'[1]Global Oil LP'!$I$8</definedName>
    <definedName name="DStart">'[1]Global Oil LP'!$G$8</definedName>
    <definedName name="EFinish">'[1]Global Oil LP'!$I$9</definedName>
    <definedName name="EStart">'[1]Global Oil LP'!$G$9</definedName>
    <definedName name="EstimatedTrend">'10.1a Exponential with Trend'!$E$6:$E$35</definedName>
    <definedName name="FFinish">'[1]Global Oil LP'!$I$10</definedName>
    <definedName name="Forecast" localSheetId="31">'10.1a Averaging'!$D$5:$D$34</definedName>
    <definedName name="Forecast" localSheetId="33">'10.1a Exponential Smoothing'!$D$6:$D$35</definedName>
    <definedName name="Forecast" localSheetId="34">'10.1a Exponential with Trend'!$F$6:$F$35</definedName>
    <definedName name="Forecast" localSheetId="32">'10.1a Moving Average'!$D$6:$D$35</definedName>
    <definedName name="Forecast">'10.1a Last Value'!$D$5:$D$34</definedName>
    <definedName name="ForecastingError" localSheetId="31">'10.1a Averaging'!$E$5:$E$34</definedName>
    <definedName name="ForecastingError" localSheetId="33">'10.1a Exponential Smoothing'!$E$6:$E$35</definedName>
    <definedName name="ForecastingError" localSheetId="34">'10.1a Exponential with Trend'!$G$6:$G$35</definedName>
    <definedName name="ForecastingError" localSheetId="32">'10.1a Moving Average'!$E$6:$E$35</definedName>
    <definedName name="ForecastingError" localSheetId="37">'10.1c Averaging'!$H$6:$H$75</definedName>
    <definedName name="ForecastingError" localSheetId="39">'10.1c Expon Smoothing'!$H$6:$H$75</definedName>
    <definedName name="ForecastingError" localSheetId="40">'10.1c Exponential Trend'!$J$6:$J$75</definedName>
    <definedName name="ForecastingError" localSheetId="36">'10.1c Last Value'!$H$6:$H$75</definedName>
    <definedName name="ForecastingError" localSheetId="38">'10.1c Moving Average'!$H$6:$H$75</definedName>
    <definedName name="ForecastingError">'10.1a Last Value'!$E$5:$E$34</definedName>
    <definedName name="FStart">'[1]Global Oil LP'!$G$10</definedName>
    <definedName name="GFinish">'[1]Global Oil LP'!$I$11</definedName>
    <definedName name="GStart">'[1]Global Oil LP'!$G$11</definedName>
    <definedName name="HFinish">'[1]Global Oil LP'!$I$12</definedName>
    <definedName name="HStart">'[1]Global Oil LP'!$G$12</definedName>
    <definedName name="IFinish">'[1]Global Oil LP'!$I$13</definedName>
    <definedName name="InitialEstimate" localSheetId="39">'10.1c Expon Smoothing'!$K$8</definedName>
    <definedName name="InitialEstimate">'10.1a Exponential Smoothing'!$H$9</definedName>
    <definedName name="InitialEstimateAverage" localSheetId="40">'10.1c Exponential Trend'!$M$9</definedName>
    <definedName name="InitialEstimateAverage">'10.1a Exponential with Trend'!$J$10</definedName>
    <definedName name="InitialEstimateTrend" localSheetId="40">'10.1c Exponential Trend'!$M$10</definedName>
    <definedName name="InitialEstimateTrend">'10.1a Exponential with Trend'!$J$11</definedName>
    <definedName name="InitialInvestment">#REF!</definedName>
    <definedName name="InitialTrend">#REF!</definedName>
    <definedName name="IStart">'[1]Global Oil LP'!$G$13</definedName>
    <definedName name="L" localSheetId="25">'11.1a'!$H$4</definedName>
    <definedName name="L" localSheetId="26">'11.1b'!$H$4</definedName>
    <definedName name="L" localSheetId="27">'11.1c'!$G$4</definedName>
    <definedName name="L" localSheetId="28">'11.1d'!$H$4</definedName>
    <definedName name="L">'11.1e'!$H$4</definedName>
    <definedName name="Lambda" localSheetId="25">'11.1a'!$C$4</definedName>
    <definedName name="Lambda" localSheetId="26">'11.1b'!$C$4</definedName>
    <definedName name="Lambda" localSheetId="27">'11.1c'!$C$4</definedName>
    <definedName name="Lambda" localSheetId="28">'11.1d'!$C$4</definedName>
    <definedName name="Lambda">'11.1e'!$C$4</definedName>
    <definedName name="LatestTrend">'10.1a Exponential with Trend'!$D$6:$D$35</definedName>
    <definedName name="limcount" hidden="1">1</definedName>
    <definedName name="Lq" localSheetId="25">'11.1a'!$H$5</definedName>
    <definedName name="Lq" localSheetId="26">'11.1b'!$H$5</definedName>
    <definedName name="Lq" localSheetId="27">'11.1c'!$G$5</definedName>
    <definedName name="Lq" localSheetId="28">'11.1d'!$H$5</definedName>
    <definedName name="Lq">'11.1e'!$H$5</definedName>
    <definedName name="MAD" localSheetId="31">'10.1a Averaging'!$H$5</definedName>
    <definedName name="MAD" localSheetId="33">'10.1a Exponential Smoothing'!$H$12</definedName>
    <definedName name="MAD" localSheetId="34">'10.1a Exponential with Trend'!$J$14</definedName>
    <definedName name="MAD" localSheetId="32">'10.1a Moving Average'!$H$9</definedName>
    <definedName name="MAD" localSheetId="37">'10.1c Averaging'!$K$23</definedName>
    <definedName name="MAD" localSheetId="39">'10.1c Expon Smoothing'!$K$28</definedName>
    <definedName name="MAD" localSheetId="40">'10.1c Exponential Trend'!$M$30</definedName>
    <definedName name="MAD" localSheetId="36">'10.1c Last Value'!$K$23</definedName>
    <definedName name="MAD" localSheetId="38">'10.1c Moving Average'!$K$26</definedName>
    <definedName name="MAD">'10.1a Last Value'!$H$5</definedName>
    <definedName name="MinimizeCosts" localSheetId="20">FALSE</definedName>
    <definedName name="MinimizeCosts" localSheetId="21">FALSE</definedName>
    <definedName name="MinimizeCosts" localSheetId="23">FALSE</definedName>
    <definedName name="MinimizeCosts" localSheetId="24">FALSE</definedName>
    <definedName name="MinimizeCosts">FALSE</definedName>
    <definedName name="MinimumBalance">#REF!</definedName>
    <definedName name="MinimumRequiredBalance">#REF!</definedName>
    <definedName name="MoneyMarketBalance">#REF!</definedName>
    <definedName name="MoneyMarketInterest">#REF!</definedName>
    <definedName name="MoneyMarketRate">#REF!</definedName>
    <definedName name="MSE" localSheetId="31">'10.1a Averaging'!$H$8</definedName>
    <definedName name="MSE" localSheetId="33">'10.1a Exponential Smoothing'!$H$15</definedName>
    <definedName name="MSE" localSheetId="34">'10.1a Exponential with Trend'!$J$17</definedName>
    <definedName name="MSE" localSheetId="32">'10.1a Moving Average'!$H$12</definedName>
    <definedName name="MSE" localSheetId="37">'10.1c Averaging'!$K$26</definedName>
    <definedName name="MSE" localSheetId="39">'10.1c Expon Smoothing'!$K$31</definedName>
    <definedName name="MSE" localSheetId="40">'10.1c Exponential Trend'!$M$33</definedName>
    <definedName name="MSE" localSheetId="36">'10.1c Last Value'!$K$26</definedName>
    <definedName name="MSE" localSheetId="38">'10.1c Moving Average'!$K$29</definedName>
    <definedName name="MSE">'10.1a Last Value'!$H$8</definedName>
    <definedName name="Mu" localSheetId="25">'11.1a'!$C$5</definedName>
    <definedName name="Mu" localSheetId="26">'11.1b'!$C$5</definedName>
    <definedName name="Mu" localSheetId="27">'11.1c'!$C$5</definedName>
    <definedName name="Mu" localSheetId="28">'11.1d'!$C$5</definedName>
    <definedName name="Mu">'11.1e'!$C$5</definedName>
    <definedName name="n" localSheetId="25">'11.1a'!$G$13:$G$38</definedName>
    <definedName name="n" localSheetId="26">'11.1b'!$G$13:$G$38</definedName>
    <definedName name="n" localSheetId="27">'11.1c'!$F$13:$F$38</definedName>
    <definedName name="n" localSheetId="28">'11.1d'!$G$13:$G$38</definedName>
    <definedName name="n">'11.1e'!$G$13:$G$38</definedName>
    <definedName name="NumberOfPeriods" localSheetId="38">'10.1c Moving Average'!$K$6</definedName>
    <definedName name="NumberOfPeriods">'10.1a Moving Average'!$H$6</definedName>
    <definedName name="P0" localSheetId="25">'11.1a'!$H$13</definedName>
    <definedName name="P0" localSheetId="26">'11.1b'!$H$13</definedName>
    <definedName name="P0" localSheetId="27">'11.1c'!$G$13</definedName>
    <definedName name="P0" localSheetId="28">'11.1d'!$H$13</definedName>
    <definedName name="P0">'11.1e'!$H$13</definedName>
    <definedName name="PensionFlow">#REF!</definedName>
    <definedName name="Pn" localSheetId="25">'11.1a'!$H$13:$H$38</definedName>
    <definedName name="Pn" localSheetId="26">'11.1b'!$H$13:$H$38</definedName>
    <definedName name="Pn" localSheetId="27">'11.1c'!$G$13:$G$38</definedName>
    <definedName name="Pn" localSheetId="28">'11.1d'!$H$13:$H$38</definedName>
    <definedName name="Pn">'11.1e'!$H$13:$H$38</definedName>
    <definedName name="ProductionQuantity">#REF!</definedName>
    <definedName name="Profit">#REF!</definedName>
    <definedName name="Rho" localSheetId="25">'11.1a'!$H$10</definedName>
    <definedName name="Rho" localSheetId="26">'11.1b'!$H$10</definedName>
    <definedName name="Rho" localSheetId="27">'11.1c'!$G$10</definedName>
    <definedName name="Rho" localSheetId="28">'11.1d'!$H$10</definedName>
    <definedName name="Rho">'11.1e'!$H$10</definedName>
    <definedName name="RT">'9.2c'!$F$22</definedName>
    <definedName name="s" localSheetId="25">'11.1a'!$C$6</definedName>
    <definedName name="s" localSheetId="26">'11.1b'!$C$6</definedName>
    <definedName name="s" localSheetId="27">'11.1c'!$C$6</definedName>
    <definedName name="s" localSheetId="28">'11.1d'!$C$6</definedName>
    <definedName name="s">'11.1e'!$C$6</definedName>
    <definedName name="ScaledA" localSheetId="24">EXP(-Low/RT)/(EXP(-Low/RT)-EXP(-High/RT))</definedName>
    <definedName name="ScaledB" localSheetId="24">1/(EXP(-Low/RT)-EXP(-High/RT))</definedName>
    <definedName name="SeasonalFactor" localSheetId="37">'10.1c Averaging'!$K$9:$K$20</definedName>
    <definedName name="SeasonalFactor" localSheetId="39">'10.1c Expon Smoothing'!$K$14:$K$25</definedName>
    <definedName name="SeasonalFactor" localSheetId="40">'10.1c Exponential Trend'!$M$16:$M$27</definedName>
    <definedName name="SeasonalFactor" localSheetId="36">'10.1c Last Value'!$K$9:$K$20</definedName>
    <definedName name="SeasonalFactor" localSheetId="38">'10.1c Moving Average'!$K$12:$K$23</definedName>
    <definedName name="SeasonalFactor">'10.1b'!$G$10:$G$21</definedName>
    <definedName name="SeasonallyAdjustedForecast" localSheetId="37">'10.1c Averaging'!$F$6:$F$75</definedName>
    <definedName name="SeasonallyAdjustedForecast" localSheetId="39">'10.1c Expon Smoothing'!$F$6:$F$75</definedName>
    <definedName name="SeasonallyAdjustedForecast" localSheetId="40">'10.1c Exponential Trend'!$H$6:$H$75</definedName>
    <definedName name="SeasonallyAdjustedForecast" localSheetId="38">'10.1c Moving Average'!$F$6:$F$75</definedName>
    <definedName name="SeasonallyAdjustedForecast">'10.1c Last Value'!$F$6:$F$75</definedName>
    <definedName name="SeasonallyAdjustedValue" localSheetId="37">'10.1c Averaging'!$E$6:$E$75</definedName>
    <definedName name="SeasonallyAdjustedValue" localSheetId="39">'10.1c Expon Smoothing'!$E$6:$E$75</definedName>
    <definedName name="SeasonallyAdjustedValue" localSheetId="40">'10.1c Exponential Trend'!$E$6:$E$75</definedName>
    <definedName name="SeasonallyAdjustedValue" localSheetId="38">'10.1c Moving Average'!$E$6:$E$75</definedName>
    <definedName name="SeasonallyAdjustedValue">'10.1c Last Value'!$E$6:$E$75</definedName>
    <definedName name="sencount" localSheetId="31" hidden="1">4</definedName>
    <definedName name="sencount" localSheetId="33" hidden="1">4</definedName>
    <definedName name="sencount" localSheetId="34" hidden="1">4</definedName>
    <definedName name="sencount" localSheetId="30" hidden="1">4</definedName>
    <definedName name="sencount" localSheetId="32" hidden="1">4</definedName>
    <definedName name="sencount" localSheetId="25" hidden="1">4</definedName>
    <definedName name="sencount" localSheetId="26" hidden="1">4</definedName>
    <definedName name="sencount" localSheetId="27" hidden="1">4</definedName>
    <definedName name="sencount" localSheetId="28" hidden="1">4</definedName>
    <definedName name="sencount" localSheetId="29" hidden="1">4</definedName>
    <definedName name="sencount" localSheetId="9" hidden="1">4</definedName>
    <definedName name="sencount" localSheetId="11" hidden="1">4</definedName>
    <definedName name="sencount" localSheetId="13" hidden="1">4</definedName>
    <definedName name="sencount" localSheetId="14" hidden="1">4</definedName>
    <definedName name="sencount" localSheetId="16" hidden="1">4</definedName>
    <definedName name="sencount" hidden="1">3</definedName>
    <definedName name="sencount2" hidden="1">3</definedName>
    <definedName name="solver_adj" localSheetId="0" hidden="1">'2.1 Marketing Survey'!$C$13:$D$13</definedName>
    <definedName name="solver_adj" localSheetId="1" hidden="1">'3.1 Farm Management'!$C$12:$E$12</definedName>
    <definedName name="solver_adj" localSheetId="2" hidden="1">'3.2 Diet Problem'!$C$14:$E$14</definedName>
    <definedName name="solver_adj" localSheetId="3" hidden="1">'3.3 Bidding for Classes'!$C$18:$F$27</definedName>
    <definedName name="solver_adj" localSheetId="4" hidden="1">'3.3c Bidding for Classes'!$C$18:$F$27,'3.3c Bidding for Classes'!$K$31</definedName>
    <definedName name="solver_adj" localSheetId="6" hidden="1">'3.4 Blending Nuts'!$C$6:$F$9</definedName>
    <definedName name="solver_adj" localSheetId="5" hidden="1">'3.5 Cutting Stock'!$C$14:$M$14</definedName>
    <definedName name="solver_adj" localSheetId="7" hidden="1">'4.1 Production and Inventory'!$C$9:$N$9</definedName>
    <definedName name="solver_adj" localSheetId="8" hidden="1">'4.2 Hiring Firing Training'!$C$11:$N$12</definedName>
    <definedName name="solver_adj" localSheetId="9" hidden="1">'5. Sensitivity Analysis'!$C$12:$E$12</definedName>
    <definedName name="solver_adj" localSheetId="11" hidden="1">'5h. Sensitivity Analysis ST'!$C$12:$E$12</definedName>
    <definedName name="solver_adj" localSheetId="13" hidden="1">'6.1 Distribution'!$D$4:$D$11</definedName>
    <definedName name="solver_adj" localSheetId="14" hidden="1">'7.1 Capital Budgeting'!$C$15:$J$15</definedName>
    <definedName name="solver_adj" localSheetId="15" hidden="1">'7.2 Search&amp;Rescue'!$D$44:$AN$44</definedName>
    <definedName name="solver_adj" localSheetId="16" hidden="1">'7.3 Warehouse Location'!$D$11:$F$12,'7.3 Warehouse Location'!$D$24:$H$26,'7.3 Warehouse Location'!$N$24:$N$26</definedName>
    <definedName name="solver_adj" localSheetId="18" hidden="1">'8.1b Airline Pricing'!$C$12</definedName>
    <definedName name="solver_adj" localSheetId="19" hidden="1">'8.1c Airline Pricing'!$C$12:$D$12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6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1" hidden="1">0.0001</definedName>
    <definedName name="solver_cvg" localSheetId="13" hidden="1">0.0001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8" hidden="1">0.0001</definedName>
    <definedName name="solver_cvg" localSheetId="19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6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1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8" hidden="1">1</definedName>
    <definedName name="solver_drv" localSheetId="19" hidden="1">1</definedName>
    <definedName name="solver_eng" localSheetId="14" hidden="1">2</definedName>
    <definedName name="solver_eng" localSheetId="16" hidden="1">2</definedName>
    <definedName name="solver_eng" localSheetId="18" hidden="1">1</definedName>
    <definedName name="solver_eng" localSheetId="19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6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1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8" hidden="1">1</definedName>
    <definedName name="solver_est" localSheetId="19" hidden="1">1</definedName>
    <definedName name="solver_ibd" localSheetId="14" hidden="1">2</definedName>
    <definedName name="solver_ibd" localSheetId="16" hidden="1">2</definedName>
    <definedName name="solver_ibd" localSheetId="18" hidden="1">2</definedName>
    <definedName name="solver_ibd" localSheetId="19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6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1" hidden="1">100</definedName>
    <definedName name="solver_itr" localSheetId="13" hidden="1">100</definedName>
    <definedName name="solver_itr" localSheetId="14" hidden="1">100</definedName>
    <definedName name="solver_itr" localSheetId="15" hidden="1">100</definedName>
    <definedName name="solver_itr" localSheetId="16" hidden="1">100</definedName>
    <definedName name="solver_itr" localSheetId="18" hidden="1">100</definedName>
    <definedName name="solver_itr" localSheetId="19" hidden="1">100</definedName>
    <definedName name="solver_lhs1" localSheetId="0" hidden="1">'2.1 Marketing Survey'!$E$7:$E$10</definedName>
    <definedName name="solver_lhs1" localSheetId="1" hidden="1">'3.1 Farm Management'!$F$7:$F$9</definedName>
    <definedName name="solver_lhs1" localSheetId="2" hidden="1">'3.2 Diet Problem'!$F$9:$F$11</definedName>
    <definedName name="solver_lhs1" localSheetId="3" hidden="1">'3.3 Bidding for Classes'!$C$28:$F$28</definedName>
    <definedName name="solver_lhs1" localSheetId="4" hidden="1">'3.3c Bidding for Classes'!$C$28:$F$28</definedName>
    <definedName name="solver_lhs1" localSheetId="6" hidden="1">'3.4 Blending Nuts'!$G$6:$G$9</definedName>
    <definedName name="solver_lhs1" localSheetId="5" hidden="1">'3.5 Cutting Stock'!$N$7:$N$11</definedName>
    <definedName name="solver_lhs1" localSheetId="7" hidden="1">'4.1 Production and Inventory'!$C$9:$N$9</definedName>
    <definedName name="solver_lhs1" localSheetId="8" hidden="1">'4.2 Hiring Firing Training'!$C$17:$N$17</definedName>
    <definedName name="solver_lhs1" localSheetId="9" hidden="1">'5. Sensitivity Analysis'!$F$7:$F$9</definedName>
    <definedName name="solver_lhs1" localSheetId="11" hidden="1">'5h. Sensitivity Analysis ST'!$F$7:$F$9</definedName>
    <definedName name="solver_lhs1" localSheetId="13" hidden="1">'6.1 Distribution'!$J$4:$J$11</definedName>
    <definedName name="solver_lhs1" localSheetId="14" hidden="1">'7.1 Capital Budgeting'!$C$15:$J$15</definedName>
    <definedName name="solver_lhs1" localSheetId="15" hidden="1">'7.2 Search&amp;Rescue'!$D$44:$AN$44</definedName>
    <definedName name="solver_lhs1" localSheetId="16" hidden="1">'7.3 Warehouse Location'!$N$24:$N$26</definedName>
    <definedName name="solver_lhs1" localSheetId="18" hidden="1">'8.1b Airline Pricing'!$C$14</definedName>
    <definedName name="solver_lhs1" localSheetId="19" hidden="1">'8.1c Airline Pricing'!$E$14</definedName>
    <definedName name="solver_lhs2" localSheetId="0" hidden="1">'2.1 Marketing Survey'!$C$15</definedName>
    <definedName name="solver_lhs2" localSheetId="1" hidden="1">'3.1 Farm Management'!#REF!</definedName>
    <definedName name="solver_lhs2" localSheetId="2" hidden="1">'3.2 Diet Problem'!$C$14:$E$14</definedName>
    <definedName name="solver_lhs2" localSheetId="3" hidden="1">'3.3 Bidding for Classes'!$G$18:$G$27</definedName>
    <definedName name="solver_lhs2" localSheetId="4" hidden="1">'3.3c Bidding for Classes'!$G$18:$G$27</definedName>
    <definedName name="solver_lhs2" localSheetId="6" hidden="1">'3.4 Blending Nuts'!$C$16:$D$16</definedName>
    <definedName name="solver_lhs2" localSheetId="5" hidden="1">'3.5 Cutting Stock'!$C$14:$M$14</definedName>
    <definedName name="solver_lhs2" localSheetId="7" hidden="1">'4.1 Production and Inventory'!$C$13:$N$13</definedName>
    <definedName name="solver_lhs2" localSheetId="8" hidden="1">'4.2 Hiring Firing Training'!$C$11:$N$12</definedName>
    <definedName name="solver_lhs2" localSheetId="9" hidden="1">'5. Sensitivity Analysis'!$E$12</definedName>
    <definedName name="solver_lhs2" localSheetId="11" hidden="1">'5h. Sensitivity Analysis ST'!$E$12</definedName>
    <definedName name="solver_lhs2" localSheetId="13" hidden="1">'6.1 Distribution'!$D$4</definedName>
    <definedName name="solver_lhs2" localSheetId="14" hidden="1">'7.1 Capital Budgeting'!$K$8:$K$11</definedName>
    <definedName name="solver_lhs2" localSheetId="15" hidden="1">'7.2 Search&amp;Rescue'!$AO$5:$AO$41</definedName>
    <definedName name="solver_lhs2" localSheetId="16" hidden="1">'7.3 Warehouse Location'!$I$24:$I$26</definedName>
    <definedName name="solver_lhs2" localSheetId="18" hidden="1">'8.1b Airline Pricing'!$C$12</definedName>
    <definedName name="solver_lhs2" localSheetId="19" hidden="1">'8.1c Airline Pricing'!$C$12:$D$12</definedName>
    <definedName name="solver_lhs3" localSheetId="0" hidden="1">'2.1 Marketing Survey'!$C$13:$D$13</definedName>
    <definedName name="solver_lhs3" localSheetId="1" hidden="1">'3.1 Farm Management'!$C$12:$E$12</definedName>
    <definedName name="solver_lhs3" localSheetId="3" hidden="1">'3.3 Bidding for Classes'!$K$18:$K$27</definedName>
    <definedName name="solver_lhs3" localSheetId="4" hidden="1">'3.3c Bidding for Classes'!$C$18:$F$27</definedName>
    <definedName name="solver_lhs3" localSheetId="6" hidden="1">'3.4 Blending Nuts'!$E$16:$F$16</definedName>
    <definedName name="solver_lhs3" localSheetId="7" hidden="1">'4.1 Production and Inventory'!$C$17:$N$17</definedName>
    <definedName name="solver_lhs3" localSheetId="8" hidden="1">'4.2 Hiring Firing Training'!$N$15</definedName>
    <definedName name="solver_lhs3" localSheetId="13" hidden="1">'6.1 Distribution'!$D$8</definedName>
    <definedName name="solver_lhs3" localSheetId="14" hidden="1">'7.1 Capital Budgeting'!$C$18</definedName>
    <definedName name="solver_lhs3" localSheetId="15" hidden="1">'7.2 Search&amp;Rescue'!$K$5:$K$22</definedName>
    <definedName name="solver_lhs3" localSheetId="16" hidden="1">'7.3 Warehouse Location'!$K$24:$K$26</definedName>
    <definedName name="solver_lhs3" localSheetId="18" hidden="1">'8.1b Airline Pricing'!$C$12</definedName>
    <definedName name="solver_lhs3" localSheetId="19" hidden="1">'8.1c Airline Pricing'!$C$12:$D$12</definedName>
    <definedName name="solver_lhs4" localSheetId="0" hidden="1">'2.1 Marketing Survey'!#REF!</definedName>
    <definedName name="solver_lhs4" localSheetId="1" hidden="1">'3.1 Farm Management'!#REF!</definedName>
    <definedName name="solver_lhs4" localSheetId="3" hidden="1">'3.3 Bidding for Classes'!$C$18:$F$27</definedName>
    <definedName name="solver_lhs4" localSheetId="4" hidden="1">'3.3c Bidding for Classes'!$K$18:$K$27</definedName>
    <definedName name="solver_lhs4" localSheetId="6" hidden="1">'3.4 Blending Nuts'!$E$23</definedName>
    <definedName name="solver_lhs4" localSheetId="7" hidden="1">'4.1 Production and Inventory'!#REF!</definedName>
    <definedName name="solver_lhs4" localSheetId="8" hidden="1">'4.2 Hiring Firing Training'!#REF!</definedName>
    <definedName name="solver_lhs4" localSheetId="13" hidden="1">'6.1 Distribution'!$D$8</definedName>
    <definedName name="solver_lhs4" localSheetId="14" hidden="1">'7.1 Capital Budgeting'!$C$19:$C$20</definedName>
    <definedName name="solver_lhs4" localSheetId="15" hidden="1">'7.2 Search&amp;Rescue'!$K$5:$K$22</definedName>
    <definedName name="solver_lhs4" localSheetId="16" hidden="1">'7.3 Warehouse Location'!$D$27:$H$27</definedName>
    <definedName name="solver_lhs5" localSheetId="0" hidden="1">'2.1 Marketing Survey'!#REF!</definedName>
    <definedName name="solver_lhs5" localSheetId="1" hidden="1">'3.1 Farm Management'!#REF!</definedName>
    <definedName name="solver_lhs5" localSheetId="3" hidden="1">'3.3 Bidding for Classes'!$C$18:$F$27</definedName>
    <definedName name="solver_lhs5" localSheetId="4" hidden="1">'3.3c Bidding for Classes'!$C$18:$F$27</definedName>
    <definedName name="solver_lhs5" localSheetId="6" hidden="1">'3.4 Blending Nuts'!$F$23</definedName>
    <definedName name="solver_lhs5" localSheetId="7" hidden="1">'4.1 Production and Inventory'!#REF!</definedName>
    <definedName name="solver_lhs5" localSheetId="8" hidden="1">'4.2 Hiring Firing Training'!#REF!</definedName>
    <definedName name="solver_lhs5" localSheetId="13" hidden="1">'6.1 Distribution'!#REF!</definedName>
    <definedName name="solver_lhs5" localSheetId="16" hidden="1">'7.3 Warehouse Location'!$G$11:$G$12</definedName>
    <definedName name="solver_lhs6" localSheetId="6" hidden="1">'3.4 Blending Nuts'!$E$30:$F$30</definedName>
    <definedName name="solver_lhs6" localSheetId="16" hidden="1">'7.3 Warehouse Location'!$N$24:$N$26</definedName>
    <definedName name="solver_lhs7" localSheetId="6" hidden="1">'3.4 Blending Nuts'!$F$37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6" hidden="1">1</definedName>
    <definedName name="solver_lin" localSheetId="5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1" hidden="1">1</definedName>
    <definedName name="solver_lin" localSheetId="13" hidden="1">1</definedName>
    <definedName name="solver_lin" localSheetId="14" hidden="1">1</definedName>
    <definedName name="solver_lin" localSheetId="15" hidden="1">1</definedName>
    <definedName name="solver_lin" localSheetId="16" hidden="1">1</definedName>
    <definedName name="solver_lin" localSheetId="18" hidden="1">2</definedName>
    <definedName name="solver_lin" localSheetId="19" hidden="1">2</definedName>
    <definedName name="solver_lva" localSheetId="14" hidden="1">2</definedName>
    <definedName name="solver_lva" localSheetId="16" hidden="1">2</definedName>
    <definedName name="solver_lva" localSheetId="18" hidden="1">2</definedName>
    <definedName name="solver_lva" localSheetId="19" hidden="1">2</definedName>
    <definedName name="solver_mip" localSheetId="14" hidden="1">5000</definedName>
    <definedName name="solver_mip" localSheetId="16" hidden="1">5000</definedName>
    <definedName name="solver_mip" localSheetId="18" hidden="1">5000</definedName>
    <definedName name="solver_mip" localSheetId="19" hidden="1">5000</definedName>
    <definedName name="solver_mni" localSheetId="14" hidden="1">30</definedName>
    <definedName name="solver_mni" localSheetId="16" hidden="1">30</definedName>
    <definedName name="solver_mni" localSheetId="18" hidden="1">30</definedName>
    <definedName name="solver_mni" localSheetId="19" hidden="1">30</definedName>
    <definedName name="solver_mrt" localSheetId="14" hidden="1">0.075</definedName>
    <definedName name="solver_mrt" localSheetId="16" hidden="1">0.075</definedName>
    <definedName name="solver_mrt" localSheetId="18" hidden="1">0.075</definedName>
    <definedName name="solver_mrt" localSheetId="19" hidden="1">0.075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6" hidden="1">1</definedName>
    <definedName name="solver_neg" localSheetId="5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1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8" hidden="1">1</definedName>
    <definedName name="solver_neg" localSheetId="19" hidden="1">1</definedName>
    <definedName name="solver_nod" localSheetId="14" hidden="1">5000</definedName>
    <definedName name="solver_nod" localSheetId="16" hidden="1">5000</definedName>
    <definedName name="solver_nod" localSheetId="18" hidden="1">5000</definedName>
    <definedName name="solver_nod" localSheetId="19" hidden="1">5000</definedName>
    <definedName name="solver_num" localSheetId="0" hidden="1">2</definedName>
    <definedName name="solver_num" localSheetId="1" hidden="1">1</definedName>
    <definedName name="solver_num" localSheetId="2" hidden="1">1</definedName>
    <definedName name="solver_num" localSheetId="3" hidden="1">4</definedName>
    <definedName name="solver_num" localSheetId="4" hidden="1">4</definedName>
    <definedName name="solver_num" localSheetId="6" hidden="1">7</definedName>
    <definedName name="solver_num" localSheetId="5" hidden="1">2</definedName>
    <definedName name="solver_num" localSheetId="7" hidden="1">3</definedName>
    <definedName name="solver_num" localSheetId="8" hidden="1">3</definedName>
    <definedName name="solver_num" localSheetId="9" hidden="1">1</definedName>
    <definedName name="solver_num" localSheetId="11" hidden="1">1</definedName>
    <definedName name="solver_num" localSheetId="13" hidden="1">2</definedName>
    <definedName name="solver_num" localSheetId="14" hidden="1">4</definedName>
    <definedName name="solver_num" localSheetId="15" hidden="1">2</definedName>
    <definedName name="solver_num" localSheetId="16" hidden="1">5</definedName>
    <definedName name="solver_num" localSheetId="18" hidden="1">1</definedName>
    <definedName name="solver_num" localSheetId="19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6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1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8" hidden="1">1</definedName>
    <definedName name="solver_nwt" localSheetId="19" hidden="1">1</definedName>
    <definedName name="solver_ofx" localSheetId="14" hidden="1">2</definedName>
    <definedName name="solver_ofx" localSheetId="16" hidden="1">2</definedName>
    <definedName name="solver_ofx" localSheetId="18" hidden="1">2</definedName>
    <definedName name="solver_ofx" localSheetId="19" hidden="1">2</definedName>
    <definedName name="solver_opt" localSheetId="0" hidden="1">'2.1 Marketing Survey'!$G$13</definedName>
    <definedName name="solver_opt" localSheetId="1" hidden="1">'3.1 Farm Management'!$H$12</definedName>
    <definedName name="solver_opt" localSheetId="2" hidden="1">'3.2 Diet Problem'!$H$14</definedName>
    <definedName name="solver_opt" localSheetId="3" hidden="1">'3.3 Bidding for Classes'!$K$29</definedName>
    <definedName name="solver_opt" localSheetId="4" hidden="1">'3.3c Bidding for Classes'!$K$31</definedName>
    <definedName name="solver_opt" localSheetId="6" hidden="1">'3.4 Blending Nuts'!$I$12</definedName>
    <definedName name="solver_opt" localSheetId="5" hidden="1">'3.5 Cutting Stock'!$P$14</definedName>
    <definedName name="solver_opt" localSheetId="7" hidden="1">'4.1 Production and Inventory'!$O$25</definedName>
    <definedName name="solver_opt" localSheetId="8" hidden="1">'4.2 Hiring Firing Training'!$O$26</definedName>
    <definedName name="solver_opt" localSheetId="9" hidden="1">'5. Sensitivity Analysis'!$H$12</definedName>
    <definedName name="solver_opt" localSheetId="11" hidden="1">'5h. Sensitivity Analysis ST'!$H$12</definedName>
    <definedName name="solver_opt" localSheetId="13" hidden="1">'6.1 Distribution'!$D$13</definedName>
    <definedName name="solver_opt" localSheetId="14" hidden="1">'7.1 Capital Budgeting'!$M$15</definedName>
    <definedName name="solver_opt" localSheetId="15" hidden="1">'7.2 Search&amp;Rescue'!$AQ$44</definedName>
    <definedName name="solver_opt" localSheetId="16" hidden="1">'7.3 Warehouse Location'!$N$12</definedName>
    <definedName name="solver_opt" localSheetId="18" hidden="1">'8.1b Airline Pricing'!$C$16</definedName>
    <definedName name="solver_opt" localSheetId="19" hidden="1">'8.1c Airline Pricing'!$C$16</definedName>
    <definedName name="solver_piv" localSheetId="14" hidden="1">0.000001</definedName>
    <definedName name="solver_piv" localSheetId="16" hidden="1">0.000001</definedName>
    <definedName name="solver_piv" localSheetId="18" hidden="1">0.000001</definedName>
    <definedName name="solver_piv" localSheetId="19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6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1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8" hidden="1">0.000001</definedName>
    <definedName name="solver_pre" localSheetId="19" hidden="1">0.000001</definedName>
    <definedName name="solver_pro" localSheetId="14" hidden="1">2</definedName>
    <definedName name="solver_pro" localSheetId="16" hidden="1">2</definedName>
    <definedName name="solver_pro" localSheetId="18" hidden="1">2</definedName>
    <definedName name="solver_pro" localSheetId="19" hidden="1">2</definedName>
    <definedName name="solver_rbv" localSheetId="14" hidden="1">1</definedName>
    <definedName name="solver_rbv" localSheetId="16" hidden="1">1</definedName>
    <definedName name="solver_rbv" localSheetId="18" hidden="1">1</definedName>
    <definedName name="solver_rbv" localSheetId="19" hidden="1">1</definedName>
    <definedName name="solver_red" localSheetId="14" hidden="1">0.000001</definedName>
    <definedName name="solver_red" localSheetId="16" hidden="1">0.000001</definedName>
    <definedName name="solver_red" localSheetId="18" hidden="1">0.000001</definedName>
    <definedName name="solver_red" localSheetId="19" hidden="1">0.000001</definedName>
    <definedName name="solver_rel1" localSheetId="0" hidden="1">3</definedName>
    <definedName name="solver_rel1" localSheetId="1" hidden="1">1</definedName>
    <definedName name="solver_rel1" localSheetId="2" hidden="1">3</definedName>
    <definedName name="solver_rel1" localSheetId="3" hidden="1">1</definedName>
    <definedName name="solver_rel1" localSheetId="4" hidden="1">1</definedName>
    <definedName name="solver_rel1" localSheetId="6" hidden="1">1</definedName>
    <definedName name="solver_rel1" localSheetId="5" hidden="1">3</definedName>
    <definedName name="solver_rel1" localSheetId="7" hidden="1">1</definedName>
    <definedName name="solver_rel1" localSheetId="8" hidden="1">3</definedName>
    <definedName name="solver_rel1" localSheetId="9" hidden="1">1</definedName>
    <definedName name="solver_rel1" localSheetId="11" hidden="1">1</definedName>
    <definedName name="solver_rel1" localSheetId="13" hidden="1">2</definedName>
    <definedName name="solver_rel1" localSheetId="14" hidden="1">5</definedName>
    <definedName name="solver_rel1" localSheetId="15" hidden="1">5</definedName>
    <definedName name="solver_rel1" localSheetId="16" hidden="1">5</definedName>
    <definedName name="solver_rel1" localSheetId="18" hidden="1">1</definedName>
    <definedName name="solver_rel1" localSheetId="19" hidden="1">1</definedName>
    <definedName name="solver_rel2" localSheetId="0" hidden="1">1</definedName>
    <definedName name="solver_rel2" localSheetId="1" hidden="1">1</definedName>
    <definedName name="solver_rel2" localSheetId="2" hidden="1">4</definedName>
    <definedName name="solver_rel2" localSheetId="3" hidden="1">2</definedName>
    <definedName name="solver_rel2" localSheetId="4" hidden="1">2</definedName>
    <definedName name="solver_rel2" localSheetId="6" hidden="1">2</definedName>
    <definedName name="solver_rel2" localSheetId="5" hidden="1">4</definedName>
    <definedName name="solver_rel2" localSheetId="7" hidden="1">3</definedName>
    <definedName name="solver_rel2" localSheetId="8" hidden="1">4</definedName>
    <definedName name="solver_rel2" localSheetId="9" hidden="1">3</definedName>
    <definedName name="solver_rel2" localSheetId="11" hidden="1">3</definedName>
    <definedName name="solver_rel2" localSheetId="13" hidden="1">1</definedName>
    <definedName name="solver_rel2" localSheetId="14" hidden="1">1</definedName>
    <definedName name="solver_rel2" localSheetId="15" hidden="1">3</definedName>
    <definedName name="solver_rel2" localSheetId="16" hidden="1">1</definedName>
    <definedName name="solver_rel2" localSheetId="18" hidden="1">3</definedName>
    <definedName name="solver_rel2" localSheetId="19" hidden="1">3</definedName>
    <definedName name="solver_rel3" localSheetId="0" hidden="1">4</definedName>
    <definedName name="solver_rel3" localSheetId="1" hidden="1">4</definedName>
    <definedName name="solver_rel3" localSheetId="3" hidden="1">3</definedName>
    <definedName name="solver_rel3" localSheetId="4" hidden="1">5</definedName>
    <definedName name="solver_rel3" localSheetId="6" hidden="1">1</definedName>
    <definedName name="solver_rel3" localSheetId="7" hidden="1">3</definedName>
    <definedName name="solver_rel3" localSheetId="8" hidden="1">3</definedName>
    <definedName name="solver_rel3" localSheetId="13" hidden="1">1</definedName>
    <definedName name="solver_rel3" localSheetId="14" hidden="1">3</definedName>
    <definedName name="solver_rel3" localSheetId="15" hidden="1">5</definedName>
    <definedName name="solver_rel3" localSheetId="16" hidden="1">1</definedName>
    <definedName name="solver_rel3" localSheetId="18" hidden="1">3</definedName>
    <definedName name="solver_rel3" localSheetId="19" hidden="1">1</definedName>
    <definedName name="solver_rel4" localSheetId="0" hidden="1">1</definedName>
    <definedName name="solver_rel4" localSheetId="1" hidden="1">1</definedName>
    <definedName name="solver_rel4" localSheetId="3" hidden="1">1</definedName>
    <definedName name="solver_rel4" localSheetId="4" hidden="1">3</definedName>
    <definedName name="solver_rel4" localSheetId="6" hidden="1">3</definedName>
    <definedName name="solver_rel4" localSheetId="7" hidden="1">1</definedName>
    <definedName name="solver_rel4" localSheetId="8" hidden="1">1</definedName>
    <definedName name="solver_rel4" localSheetId="13" hidden="1">1</definedName>
    <definedName name="solver_rel4" localSheetId="14" hidden="1">1</definedName>
    <definedName name="solver_rel4" localSheetId="15" hidden="1">5</definedName>
    <definedName name="solver_rel4" localSheetId="16" hidden="1">3</definedName>
    <definedName name="solver_rel5" localSheetId="0" hidden="1">3</definedName>
    <definedName name="solver_rel5" localSheetId="1" hidden="1">3</definedName>
    <definedName name="solver_rel5" localSheetId="3" hidden="1">5</definedName>
    <definedName name="solver_rel5" localSheetId="4" hidden="1">5</definedName>
    <definedName name="solver_rel5" localSheetId="6" hidden="1">1</definedName>
    <definedName name="solver_rel5" localSheetId="7" hidden="1">3</definedName>
    <definedName name="solver_rel5" localSheetId="8" hidden="1">3</definedName>
    <definedName name="solver_rel5" localSheetId="13" hidden="1">1</definedName>
    <definedName name="solver_rel5" localSheetId="16" hidden="1">1</definedName>
    <definedName name="solver_rel6" localSheetId="6" hidden="1">1</definedName>
    <definedName name="solver_rel6" localSheetId="16" hidden="1">5</definedName>
    <definedName name="solver_rel7" localSheetId="6" hidden="1">3</definedName>
    <definedName name="solver_reo" localSheetId="14" hidden="1">2</definedName>
    <definedName name="solver_reo" localSheetId="16" hidden="1">2</definedName>
    <definedName name="solver_reo" localSheetId="18" hidden="1">2</definedName>
    <definedName name="solver_reo" localSheetId="19" hidden="1">2</definedName>
    <definedName name="solver_rep" localSheetId="14" hidden="1">2</definedName>
    <definedName name="solver_rep" localSheetId="16" hidden="1">2</definedName>
    <definedName name="solver_rep" localSheetId="18" hidden="1">2</definedName>
    <definedName name="solver_rep" localSheetId="19" hidden="1">2</definedName>
    <definedName name="solver_rhs1" localSheetId="0" hidden="1">'2.1 Marketing Survey'!$G$7:$G$10</definedName>
    <definedName name="solver_rhs1" localSheetId="1" hidden="1">'3.1 Farm Management'!$H$7:$H$9</definedName>
    <definedName name="solver_rhs1" localSheetId="2" hidden="1">'3.2 Diet Problem'!$H$9:$H$11</definedName>
    <definedName name="solver_rhs1" localSheetId="3" hidden="1">'3.3 Bidding for Classes'!$C$30:$F$30</definedName>
    <definedName name="solver_rhs1" localSheetId="4" hidden="1">'3.3c Bidding for Classes'!$C$30:$F$30</definedName>
    <definedName name="solver_rhs1" localSheetId="6" hidden="1">'3.4 Blending Nuts'!$I$6:$I$9</definedName>
    <definedName name="solver_rhs1" localSheetId="5" hidden="1">'3.5 Cutting Stock'!$P$7:$P$11</definedName>
    <definedName name="solver_rhs1" localSheetId="7" hidden="1">'4.1 Production and Inventory'!$C$11:$N$11</definedName>
    <definedName name="solver_rhs1" localSheetId="8" hidden="1">'4.2 Hiring Firing Training'!$C$19:$N$19</definedName>
    <definedName name="solver_rhs1" localSheetId="9" hidden="1">'5. Sensitivity Analysis'!$H$7:$H$9</definedName>
    <definedName name="solver_rhs1" localSheetId="11" hidden="1">'5h. Sensitivity Analysis ST'!$H$7:$H$9</definedName>
    <definedName name="solver_rhs1" localSheetId="13" hidden="1">'6.1 Distribution'!$L$4:$L$11</definedName>
    <definedName name="solver_rhs1" localSheetId="14" hidden="1">binary</definedName>
    <definedName name="solver_rhs1" localSheetId="15" hidden="1">binary</definedName>
    <definedName name="solver_rhs1" localSheetId="16" hidden="1">binary</definedName>
    <definedName name="solver_rhs1" localSheetId="18" hidden="1">'8.1b Airline Pricing'!$E$14</definedName>
    <definedName name="solver_rhs1" localSheetId="19" hidden="1">'8.1c Airline Pricing'!$G$14</definedName>
    <definedName name="solver_rhs2" localSheetId="0" hidden="1">'2.1 Marketing Survey'!$E$15</definedName>
    <definedName name="solver_rhs2" localSheetId="1" hidden="1">'3.1 Farm Management'!#REF!</definedName>
    <definedName name="solver_rhs2" localSheetId="2" hidden="1">integer</definedName>
    <definedName name="solver_rhs2" localSheetId="3" hidden="1">'3.3 Bidding for Classes'!$I$18:$I$27</definedName>
    <definedName name="solver_rhs2" localSheetId="4" hidden="1">'3.3c Bidding for Classes'!$I$18:$I$27</definedName>
    <definedName name="solver_rhs2" localSheetId="6" hidden="1">'3.4 Blending Nuts'!$C$18:$D$18</definedName>
    <definedName name="solver_rhs2" localSheetId="5" hidden="1">integer</definedName>
    <definedName name="solver_rhs2" localSheetId="7" hidden="1">'4.1 Production and Inventory'!$C$15:$N$15</definedName>
    <definedName name="solver_rhs2" localSheetId="8" hidden="1">integer</definedName>
    <definedName name="solver_rhs2" localSheetId="9" hidden="1">'5. Sensitivity Analysis'!$E$14</definedName>
    <definedName name="solver_rhs2" localSheetId="11" hidden="1">'5h. Sensitivity Analysis ST'!$E$14</definedName>
    <definedName name="solver_rhs2" localSheetId="13" hidden="1">'6.1 Distribution'!$F$4</definedName>
    <definedName name="solver_rhs2" localSheetId="14" hidden="1">'7.1 Capital Budgeting'!$M$8:$M$11</definedName>
    <definedName name="solver_rhs2" localSheetId="15" hidden="1">'7.2 Search&amp;Rescue'!$AQ$5:$AQ$41</definedName>
    <definedName name="solver_rhs2" localSheetId="16" hidden="1">'7.3 Warehouse Location'!$K$24:$K$26</definedName>
    <definedName name="solver_rhs2" localSheetId="18" hidden="1">'8.1b Airline Pricing'!#REF!</definedName>
    <definedName name="solver_rhs2" localSheetId="19" hidden="1">'8.1c Airline Pricing'!#REF!</definedName>
    <definedName name="solver_rhs3" localSheetId="0" hidden="1">integer</definedName>
    <definedName name="solver_rhs3" localSheetId="1" hidden="1">integer</definedName>
    <definedName name="solver_rhs3" localSheetId="3" hidden="1">'3.3 Bidding for Classes'!$M$18:$M$27</definedName>
    <definedName name="solver_rhs3" localSheetId="4" hidden="1">binary</definedName>
    <definedName name="solver_rhs3" localSheetId="6" hidden="1">'3.4 Blending Nuts'!$E$18:$F$18</definedName>
    <definedName name="solver_rhs3" localSheetId="7" hidden="1">'4.1 Production and Inventory'!$C$19:$N$19</definedName>
    <definedName name="solver_rhs3" localSheetId="8" hidden="1">'4.2 Hiring Firing Training'!$P$15</definedName>
    <definedName name="solver_rhs3" localSheetId="13" hidden="1">'6.1 Distribution'!$F$8</definedName>
    <definedName name="solver_rhs3" localSheetId="14" hidden="1">'7.1 Capital Budgeting'!$E$18</definedName>
    <definedName name="solver_rhs3" localSheetId="15" hidden="1">binary</definedName>
    <definedName name="solver_rhs3" localSheetId="16" hidden="1">'7.3 Warehouse Location'!$M$24:$M$26</definedName>
    <definedName name="solver_rhs3" localSheetId="18" hidden="1">'8.1b Airline Pricing'!#REF!</definedName>
    <definedName name="solver_rhs3" localSheetId="19" hidden="1">'8.1c Airline Pricing'!#REF!</definedName>
    <definedName name="solver_rhs4" localSheetId="0" hidden="1">'2.1 Marketing Survey'!$E$16</definedName>
    <definedName name="solver_rhs4" localSheetId="1" hidden="1">'3.1 Farm Management'!$F$14</definedName>
    <definedName name="solver_rhs4" localSheetId="3" hidden="1">1</definedName>
    <definedName name="solver_rhs4" localSheetId="4" hidden="1">'3.3c Bidding for Classes'!$M$18:$M$27</definedName>
    <definedName name="solver_rhs4" localSheetId="6" hidden="1">'3.4 Blending Nuts'!$E$25</definedName>
    <definedName name="solver_rhs4" localSheetId="7" hidden="1">'4.1 Production and Inventory'!#REF!</definedName>
    <definedName name="solver_rhs4" localSheetId="8" hidden="1">'4.2 Hiring Firing Training'!#REF!</definedName>
    <definedName name="solver_rhs4" localSheetId="13" hidden="1">'6.1 Distribution'!$F$8</definedName>
    <definedName name="solver_rhs4" localSheetId="14" hidden="1">'7.1 Capital Budgeting'!$E$19:$E$20</definedName>
    <definedName name="solver_rhs4" localSheetId="15" hidden="1">binary</definedName>
    <definedName name="solver_rhs4" localSheetId="16" hidden="1">'7.3 Warehouse Location'!$D$29:$H$29</definedName>
    <definedName name="solver_rhs5" localSheetId="0" hidden="1">'2.1 Marketing Survey'!#REF!</definedName>
    <definedName name="solver_rhs5" localSheetId="1" hidden="1">'3.1 Farm Management'!#REF!</definedName>
    <definedName name="solver_rhs5" localSheetId="3" hidden="1">binary</definedName>
    <definedName name="solver_rhs5" localSheetId="4" hidden="1">binary</definedName>
    <definedName name="solver_rhs5" localSheetId="6" hidden="1">'3.4 Blending Nuts'!$F$25</definedName>
    <definedName name="solver_rhs5" localSheetId="7" hidden="1">'4.1 Production and Inventory'!#REF!</definedName>
    <definedName name="solver_rhs5" localSheetId="8" hidden="1">'4.2 Hiring Firing Training'!#REF!</definedName>
    <definedName name="solver_rhs5" localSheetId="13" hidden="1">'6.1 Distribution'!#REF!</definedName>
    <definedName name="solver_rhs5" localSheetId="16" hidden="1">'7.3 Warehouse Location'!$I$11:$I$12</definedName>
    <definedName name="solver_rhs6" localSheetId="6" hidden="1">'3.4 Blending Nuts'!$E$32:$F$32</definedName>
    <definedName name="solver_rhs6" localSheetId="16" hidden="1">binary</definedName>
    <definedName name="solver_rhs7" localSheetId="6" hidden="1">'3.4 Blending Nuts'!$F$39</definedName>
    <definedName name="solver_rlx" localSheetId="14" hidden="1">2</definedName>
    <definedName name="solver_rlx" localSheetId="16" hidden="1">2</definedName>
    <definedName name="solver_rlx" localSheetId="18" hidden="1">2</definedName>
    <definedName name="solver_rlx" localSheetId="19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6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1" hidden="1">2</definedName>
    <definedName name="solver_scl" localSheetId="13" hidden="1">2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8" hidden="1">2</definedName>
    <definedName name="solver_scl" localSheetId="19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6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1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8" hidden="1">2</definedName>
    <definedName name="solver_sho" localSheetId="19" hidden="1">2</definedName>
    <definedName name="solver_ssz" localSheetId="14" hidden="1">100</definedName>
    <definedName name="solver_ssz" localSheetId="16" hidden="1">100</definedName>
    <definedName name="solver_ssz" localSheetId="18" hidden="1">100</definedName>
    <definedName name="solver_ssz" localSheetId="19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6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1" hidden="1">100</definedName>
    <definedName name="solver_tim" localSheetId="13" hidden="1">100</definedName>
    <definedName name="solver_tim" localSheetId="14" hidden="1">100</definedName>
    <definedName name="solver_tim" localSheetId="15" hidden="1">100</definedName>
    <definedName name="solver_tim" localSheetId="16" hidden="1">100</definedName>
    <definedName name="solver_tim" localSheetId="18" hidden="1">100</definedName>
    <definedName name="solver_tim" localSheetId="19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6" hidden="1">0.05</definedName>
    <definedName name="solver_tol" localSheetId="5" hidden="1">0.05</definedName>
    <definedName name="solver_tol" localSheetId="7" hidden="1">0.05</definedName>
    <definedName name="solver_tol" localSheetId="8" hidden="1">0</definedName>
    <definedName name="solver_tol" localSheetId="9" hidden="1">0.05</definedName>
    <definedName name="solver_tol" localSheetId="11" hidden="1">0.05</definedName>
    <definedName name="solver_tol" localSheetId="13" hidden="1">0.05</definedName>
    <definedName name="solver_tol" localSheetId="14" hidden="1">0.05</definedName>
    <definedName name="solver_tol" localSheetId="15" hidden="1">0</definedName>
    <definedName name="solver_tol" localSheetId="16" hidden="1">0</definedName>
    <definedName name="solver_tol" localSheetId="18" hidden="1">0.05</definedName>
    <definedName name="solver_tol" localSheetId="19" hidden="1">0.05</definedName>
    <definedName name="solver_typ" localSheetId="0" hidden="1">2</definedName>
    <definedName name="solver_typ" localSheetId="1" hidden="1">1</definedName>
    <definedName name="solver_typ" localSheetId="2" hidden="1">2</definedName>
    <definedName name="solver_typ" localSheetId="3" hidden="1">1</definedName>
    <definedName name="solver_typ" localSheetId="4" hidden="1">1</definedName>
    <definedName name="solver_typ" localSheetId="6" hidden="1">1</definedName>
    <definedName name="solver_typ" localSheetId="5" hidden="1">2</definedName>
    <definedName name="solver_typ" localSheetId="7" hidden="1">1</definedName>
    <definedName name="solver_typ" localSheetId="8" hidden="1">2</definedName>
    <definedName name="solver_typ" localSheetId="9" hidden="1">1</definedName>
    <definedName name="solver_typ" localSheetId="11" hidden="1">1</definedName>
    <definedName name="solver_typ" localSheetId="13" hidden="1">2</definedName>
    <definedName name="solver_typ" localSheetId="14" hidden="1">1</definedName>
    <definedName name="solver_typ" localSheetId="15" hidden="1">2</definedName>
    <definedName name="solver_typ" localSheetId="16" hidden="1">2</definedName>
    <definedName name="solver_typ" localSheetId="18" hidden="1">1</definedName>
    <definedName name="solver_typ" localSheetId="19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6" hidden="1">0</definedName>
    <definedName name="solver_val" localSheetId="5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1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8" hidden="1">0</definedName>
    <definedName name="solver_val" localSheetId="19" hidden="1">0</definedName>
    <definedName name="Time1">'11.1c'!$C$9</definedName>
    <definedName name="Time2">'11.1c'!$C$12</definedName>
    <definedName name="TotalCost">'11.1c'!$C$20</definedName>
    <definedName name="TotalProfit">#REF!</definedName>
    <definedName name="TotalUsed">#REF!</definedName>
    <definedName name="TreeData" localSheetId="20">'9.1a'!$GH$1001:$GV$1007</definedName>
    <definedName name="TreeData" localSheetId="21">'9.1b'!$GH$1001:$GV$1015</definedName>
    <definedName name="TreeData" localSheetId="23">'9.2a'!$GH$1001:$GV$1007</definedName>
    <definedName name="TreeData" localSheetId="24">'9.2c'!$GH$1001:$GV$1007</definedName>
    <definedName name="TreeData">#REF!</definedName>
    <definedName name="TreeDiagBase" localSheetId="20">'9.1a'!$A$1</definedName>
    <definedName name="TreeDiagBase" localSheetId="21">'9.1b'!$A$1</definedName>
    <definedName name="TreeDiagBase" localSheetId="23">'9.2a'!$A$1</definedName>
    <definedName name="TreeDiagBase" localSheetId="24">'9.2c'!$A$1</definedName>
    <definedName name="TreeDiagBase">#REF!</definedName>
    <definedName name="TreeDiagram" localSheetId="20">'9.1a'!$A$1:$K$19</definedName>
    <definedName name="TreeDiagram" localSheetId="21">'9.1b'!$A$1:$O$39</definedName>
    <definedName name="TreeDiagram" localSheetId="23">'9.2a'!$A$1:$O$19</definedName>
    <definedName name="TreeDiagram" localSheetId="24">'9.2c'!$A$1:$O$20</definedName>
    <definedName name="TreeDiagram">#REF!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TrueValue" localSheetId="31">'10.1a Averaging'!$C$5:$C$34</definedName>
    <definedName name="TrueValue" localSheetId="33">'10.1a Exponential Smoothing'!$C$6:$C$35</definedName>
    <definedName name="TrueValue" localSheetId="34">'10.1a Exponential with Trend'!$C$6:$C$35</definedName>
    <definedName name="TrueValue" localSheetId="32">'10.1a Moving Average'!$C$6:$C$35</definedName>
    <definedName name="TrueValue" localSheetId="35">'10.1b'!$D$5:$D$69</definedName>
    <definedName name="TrueValue" localSheetId="37">'10.1c Averaging'!$D$6:$D$75</definedName>
    <definedName name="TrueValue" localSheetId="39">'10.1c Expon Smoothing'!$D$6:$D$75</definedName>
    <definedName name="TrueValue" localSheetId="40">'10.1c Exponential Trend'!$D$6:$D$75</definedName>
    <definedName name="TrueValue" localSheetId="36">'10.1c Last Value'!$D$6:$D$75</definedName>
    <definedName name="TrueValue" localSheetId="38">'10.1c Moving Average'!$D$6:$D$75</definedName>
    <definedName name="TrueValue">'10.1a Last Value'!$C$5:$C$34</definedName>
    <definedName name="TypeOfSeasonality" localSheetId="37">'10.1c Averaging'!$K$6</definedName>
    <definedName name="TypeOfSeasonality" localSheetId="39">'10.1c Expon Smoothing'!$K$11</definedName>
    <definedName name="TypeOfSeasonality" localSheetId="40">'10.1c Exponential Trend'!$M$13</definedName>
    <definedName name="TypeOfSeasonality" localSheetId="36">'10.1c Last Value'!$K$6</definedName>
    <definedName name="TypeOfSeasonality" localSheetId="38">'10.1c Moving Average'!$K$9</definedName>
    <definedName name="TypeOfSeasonality">'10.1b'!$F$5</definedName>
    <definedName name="units">#REF!</definedName>
    <definedName name="UnitsPurchased">#REF!</definedName>
    <definedName name="UseExpUtility" localSheetId="20">FALSE</definedName>
    <definedName name="UseExpUtility" localSheetId="21">FALSE</definedName>
    <definedName name="UseExpUtility" localSheetId="23">FALSE</definedName>
    <definedName name="UseExpUtility" localSheetId="24">TRUE</definedName>
    <definedName name="UseExpUtility">FALSE</definedName>
    <definedName name="W" localSheetId="25">'11.1a'!$H$7</definedName>
    <definedName name="W" localSheetId="26">'11.1b'!$H$7</definedName>
    <definedName name="W" localSheetId="27">'11.1c'!$G$7</definedName>
    <definedName name="W" localSheetId="28">'11.1d'!$H$7</definedName>
    <definedName name="W">'11.1e'!$H$7</definedName>
    <definedName name="Wq" localSheetId="25">'11.1a'!$H$8</definedName>
    <definedName name="Wq" localSheetId="26">'11.1b'!$H$8</definedName>
    <definedName name="Wq" localSheetId="27">'11.1c'!$G$8</definedName>
    <definedName name="Wq" localSheetId="28">'11.1d'!$H$8</definedName>
    <definedName name="Wq">'11.1e'!$H$8</definedName>
  </definedNames>
  <calcPr fullCalcOnLoad="1"/>
</workbook>
</file>

<file path=xl/sharedStrings.xml><?xml version="1.0" encoding="utf-8"?>
<sst xmlns="http://schemas.openxmlformats.org/spreadsheetml/2006/main" count="1620" uniqueCount="531">
  <si>
    <t>K11</t>
  </si>
  <si>
    <t>Template for Exponential-Smoothing with Trend Forecasting Method with Seasonality</t>
  </si>
  <si>
    <t>I6:I75</t>
  </si>
  <si>
    <t>M5</t>
  </si>
  <si>
    <t>M6</t>
  </si>
  <si>
    <t>J6:J75</t>
  </si>
  <si>
    <t>M9</t>
  </si>
  <si>
    <t>M10</t>
  </si>
  <si>
    <t>M30</t>
  </si>
  <si>
    <t>M33</t>
  </si>
  <si>
    <t>M16:M27</t>
  </si>
  <si>
    <t>M13</t>
  </si>
  <si>
    <t>Cash Outflow Required ($million)</t>
  </si>
  <si>
    <t>Total Outflow</t>
  </si>
  <si>
    <t>Year 1</t>
  </si>
  <si>
    <t>Year 2</t>
  </si>
  <si>
    <t>Year 3</t>
  </si>
  <si>
    <t>Year 4</t>
  </si>
  <si>
    <t>Total NPV</t>
  </si>
  <si>
    <t>($million)</t>
  </si>
  <si>
    <t>Undertake?</t>
  </si>
  <si>
    <t>Telephone Marketing</t>
  </si>
  <si>
    <t>Daytime Call</t>
  </si>
  <si>
    <t>Evening Call</t>
  </si>
  <si>
    <t>Template for Last-Value Forecasting Method</t>
  </si>
  <si>
    <t>Time</t>
  </si>
  <si>
    <t>True</t>
  </si>
  <si>
    <t>Last-Value</t>
  </si>
  <si>
    <t>Forecasting</t>
  </si>
  <si>
    <t>Period</t>
  </si>
  <si>
    <t>Forecast</t>
  </si>
  <si>
    <t>Error</t>
  </si>
  <si>
    <t>Mean Absolute Deviation</t>
  </si>
  <si>
    <t>D5:D34</t>
  </si>
  <si>
    <t>MAD =</t>
  </si>
  <si>
    <t>ForecastingError</t>
  </si>
  <si>
    <t>E5:E34</t>
  </si>
  <si>
    <t>MAD</t>
  </si>
  <si>
    <t>H5</t>
  </si>
  <si>
    <t>Mean Square Error</t>
  </si>
  <si>
    <t>MSE</t>
  </si>
  <si>
    <t>H8</t>
  </si>
  <si>
    <t>MSE =</t>
  </si>
  <si>
    <t>TrueValue</t>
  </si>
  <si>
    <t>C5:C34</t>
  </si>
  <si>
    <t>Template for Averaging Forecasting Method</t>
  </si>
  <si>
    <t>Averaging</t>
  </si>
  <si>
    <t>Template for Moving-Average Forecasting Method</t>
  </si>
  <si>
    <t>Moving</t>
  </si>
  <si>
    <t>Average</t>
  </si>
  <si>
    <t>Number of previous</t>
  </si>
  <si>
    <t>periods to consider</t>
  </si>
  <si>
    <t>D6:D35</t>
  </si>
  <si>
    <t>n=</t>
  </si>
  <si>
    <t>E6:E35</t>
  </si>
  <si>
    <t>H9</t>
  </si>
  <si>
    <t>H12</t>
  </si>
  <si>
    <t>NumberOfPeriods</t>
  </si>
  <si>
    <t>H6</t>
  </si>
  <si>
    <t>C6:C35</t>
  </si>
  <si>
    <t>Template for Exponential Smoothing Forecasting Method</t>
  </si>
  <si>
    <t>Exponential</t>
  </si>
  <si>
    <t>Smoothing</t>
  </si>
  <si>
    <t>Smoothing Constant</t>
  </si>
  <si>
    <t>Alpha</t>
  </si>
  <si>
    <t>a =</t>
  </si>
  <si>
    <t>Initial Estimate</t>
  </si>
  <si>
    <t>InitialEstimate</t>
  </si>
  <si>
    <t>Average =</t>
  </si>
  <si>
    <t>H15</t>
  </si>
  <si>
    <t>Template for Exponential Smoothing Forecasting Method with Trend</t>
  </si>
  <si>
    <t xml:space="preserve">Time </t>
  </si>
  <si>
    <t>Latest</t>
  </si>
  <si>
    <t>Estimated</t>
  </si>
  <si>
    <t>J6</t>
  </si>
  <si>
    <t>Trend</t>
  </si>
  <si>
    <t>Smoothing Constants</t>
  </si>
  <si>
    <t>Beta</t>
  </si>
  <si>
    <t>J7</t>
  </si>
  <si>
    <t>EstimatedTrend</t>
  </si>
  <si>
    <t>b =</t>
  </si>
  <si>
    <t>F6:F35</t>
  </si>
  <si>
    <t>G6:G35</t>
  </si>
  <si>
    <t>Initial Estimates</t>
  </si>
  <si>
    <t>InitialEstimateAverage</t>
  </si>
  <si>
    <t>J10</t>
  </si>
  <si>
    <t>InitialEstimateTrend</t>
  </si>
  <si>
    <t>J11</t>
  </si>
  <si>
    <t>Trend =</t>
  </si>
  <si>
    <t>LatestTrend</t>
  </si>
  <si>
    <t>J14</t>
  </si>
  <si>
    <t>J17</t>
  </si>
  <si>
    <t>Template for Seasonal Factors</t>
  </si>
  <si>
    <t xml:space="preserve"> True </t>
  </si>
  <si>
    <t>Type of Seasonality</t>
  </si>
  <si>
    <t>SeasonalFactor</t>
  </si>
  <si>
    <t>G10:G21</t>
  </si>
  <si>
    <t>Quarterly</t>
  </si>
  <si>
    <t>D5:D69</t>
  </si>
  <si>
    <t>TypeOfSeasonality</t>
  </si>
  <si>
    <t>F5</t>
  </si>
  <si>
    <t>Estimate for</t>
  </si>
  <si>
    <t>Seasonal Factor</t>
  </si>
  <si>
    <t>Template for Last-Value Forecasting Method with Seasonality</t>
  </si>
  <si>
    <t>Seasonally</t>
  </si>
  <si>
    <t>Adjusted</t>
  </si>
  <si>
    <t>ActualForecast</t>
  </si>
  <si>
    <t>G6:G75</t>
  </si>
  <si>
    <t>H6:H75</t>
  </si>
  <si>
    <t>K23</t>
  </si>
  <si>
    <t>K26</t>
  </si>
  <si>
    <t>K9:K20</t>
  </si>
  <si>
    <t>SeasonallyAdjustedForecast</t>
  </si>
  <si>
    <t>F6:F75</t>
  </si>
  <si>
    <t>SeasonallyAdjustedValue</t>
  </si>
  <si>
    <t>E6:E75</t>
  </si>
  <si>
    <t>D6:D75</t>
  </si>
  <si>
    <t>K6</t>
  </si>
  <si>
    <t>Template for Averaging Forecasting Method with Seasonality</t>
  </si>
  <si>
    <t>Template for Moving-Average Forecasting Method with Seasonality</t>
  </si>
  <si>
    <t>n =</t>
  </si>
  <si>
    <t>K29</t>
  </si>
  <si>
    <t>K12:K23</t>
  </si>
  <si>
    <t>K9</t>
  </si>
  <si>
    <t>Template for Exponential Smoothing Forecasting Method with Seasonality</t>
  </si>
  <si>
    <t>K5</t>
  </si>
  <si>
    <t>K8</t>
  </si>
  <si>
    <t>K28</t>
  </si>
  <si>
    <t>K31</t>
  </si>
  <si>
    <t>K14:K25</t>
  </si>
  <si>
    <t>(gal.)</t>
  </si>
  <si>
    <t>(cups)</t>
  </si>
  <si>
    <t>Oranges</t>
  </si>
  <si>
    <t>Minimum</t>
  </si>
  <si>
    <t>Nutritional Contents (mg)</t>
  </si>
  <si>
    <t>Requirement</t>
  </si>
  <si>
    <t>Niacin</t>
  </si>
  <si>
    <t>Thiamin</t>
  </si>
  <si>
    <t>Vitamin C</t>
  </si>
  <si>
    <t>(per prisoner)</t>
  </si>
  <si>
    <t>Quantity</t>
  </si>
  <si>
    <t>Distribution at Heart Beats</t>
  </si>
  <si>
    <t>a</t>
  </si>
  <si>
    <t>b</t>
  </si>
  <si>
    <t>Variable Cost</t>
  </si>
  <si>
    <t>Fixed Cost</t>
  </si>
  <si>
    <t>Ticket Price</t>
  </si>
  <si>
    <t>Demand</t>
  </si>
  <si>
    <t>Airline Price Model (Uniform Price)</t>
  </si>
  <si>
    <t>Total Demand</t>
  </si>
  <si>
    <t>Tables</t>
  </si>
  <si>
    <t>Chairs</t>
  </si>
  <si>
    <t>Bookcases</t>
  </si>
  <si>
    <t>Unit Profit</t>
  </si>
  <si>
    <t>Resource Required per Unit</t>
  </si>
  <si>
    <t>Assembly (minutes)</t>
  </si>
  <si>
    <t>Finishing (minutes)</t>
  </si>
  <si>
    <t>Wood (pounds)</t>
  </si>
  <si>
    <t>Stickley Furniture</t>
  </si>
  <si>
    <t>Microsoft Excel 11.2 Sensitivity Report</t>
  </si>
  <si>
    <t>Worksheet: [Answers.xls]5. Sensitivity Analysis</t>
  </si>
  <si>
    <t>Severance Pay</t>
  </si>
  <si>
    <t>Trained Employees</t>
  </si>
  <si>
    <t>Workers Fired</t>
  </si>
  <si>
    <t>Workers Hired</t>
  </si>
  <si>
    <t>Trainees</t>
  </si>
  <si>
    <t>Labor Hours/Trained Worker/Month</t>
  </si>
  <si>
    <t>Labor Hours/Trainee/Month</t>
  </si>
  <si>
    <t>Starting Trained Workforce</t>
  </si>
  <si>
    <t>Labor Hours Available</t>
  </si>
  <si>
    <t>Required Labor Hours</t>
  </si>
  <si>
    <t>Hiring Cost</t>
  </si>
  <si>
    <t>Labor Cost (Trainees)</t>
  </si>
  <si>
    <t>Labor Cost (Trained Workforce)</t>
  </si>
  <si>
    <t>Minimum to</t>
  </si>
  <si>
    <t>Start the</t>
  </si>
  <si>
    <t>Next Year</t>
  </si>
  <si>
    <t>Farm Management</t>
  </si>
  <si>
    <t>Profit (per acre)</t>
  </si>
  <si>
    <t>Finishing (minutes) Used</t>
  </si>
  <si>
    <t>$F$9</t>
  </si>
  <si>
    <t>Wood (pounds) Used</t>
  </si>
  <si>
    <t>Original</t>
  </si>
  <si>
    <t>Extra</t>
  </si>
  <si>
    <t>Total Extra</t>
  </si>
  <si>
    <t>Extra to Assembly</t>
  </si>
  <si>
    <t>Extra to Finishing</t>
  </si>
  <si>
    <t>Worksheet: [Answers.xls]5h. Sensitivity Analysis ST</t>
  </si>
  <si>
    <t>Report Created: 11/29/2005 2:49:30 PM</t>
  </si>
  <si>
    <t>From</t>
  </si>
  <si>
    <t>To</t>
  </si>
  <si>
    <t>Unit Cost</t>
  </si>
  <si>
    <t>Nodes</t>
  </si>
  <si>
    <t>Net Flow</t>
  </si>
  <si>
    <t>Supply/Demand</t>
  </si>
  <si>
    <t>F1</t>
  </si>
  <si>
    <t>WH1</t>
  </si>
  <si>
    <t>WH2</t>
  </si>
  <si>
    <t>F2</t>
  </si>
  <si>
    <t>Flow</t>
  </si>
  <si>
    <t>WS1</t>
  </si>
  <si>
    <t>WS2</t>
  </si>
  <si>
    <t>WS3</t>
  </si>
  <si>
    <t>WS4</t>
  </si>
  <si>
    <t>Manpower Planning at Cool Power</t>
  </si>
  <si>
    <t>Classes</t>
  </si>
  <si>
    <t>Student</t>
  </si>
  <si>
    <t>Assignment</t>
  </si>
  <si>
    <t>to Take</t>
  </si>
  <si>
    <t>=</t>
  </si>
  <si>
    <t>Total Points</t>
  </si>
  <si>
    <t>Capacity</t>
  </si>
  <si>
    <t>Management</t>
  </si>
  <si>
    <t>Science</t>
  </si>
  <si>
    <t>Operations</t>
  </si>
  <si>
    <t>Bidding for Classes (Maximizing Minimum Points)</t>
  </si>
  <si>
    <t>Min</t>
  </si>
  <si>
    <t>Min Points</t>
  </si>
  <si>
    <t>Peanuts</t>
  </si>
  <si>
    <t>Cashews</t>
  </si>
  <si>
    <t>Blend</t>
  </si>
  <si>
    <t>Mixed</t>
  </si>
  <si>
    <t>Nuts</t>
  </si>
  <si>
    <t>Premium</t>
  </si>
  <si>
    <t>Macadamia Nuts</t>
  </si>
  <si>
    <t>Hazelnuts</t>
  </si>
  <si>
    <t>Total Cans</t>
  </si>
  <si>
    <t>Blend Constraints</t>
  </si>
  <si>
    <t>Macadamia</t>
  </si>
  <si>
    <t>Available</t>
  </si>
  <si>
    <t>Selling Price</t>
  </si>
  <si>
    <t>Spokane</t>
  </si>
  <si>
    <t>Adams</t>
  </si>
  <si>
    <t>Whitman</t>
  </si>
  <si>
    <t>Franklin</t>
  </si>
  <si>
    <t>Walla Walla</t>
  </si>
  <si>
    <t>Columbia</t>
  </si>
  <si>
    <t>Garfield</t>
  </si>
  <si>
    <t>Asotin</t>
  </si>
  <si>
    <t>Teams nearby</t>
  </si>
  <si>
    <t>Total Teams</t>
  </si>
  <si>
    <t>Team?</t>
  </si>
  <si>
    <t>Capital Budgeting with Contingency Constraints</t>
  </si>
  <si>
    <t>Project</t>
  </si>
  <si>
    <t>NPV ($million)</t>
  </si>
  <si>
    <t>C6</t>
  </si>
  <si>
    <t>Time1</t>
  </si>
  <si>
    <t>C9</t>
  </si>
  <si>
    <t>Time2</t>
  </si>
  <si>
    <t>C12</t>
  </si>
  <si>
    <t>W</t>
  </si>
  <si>
    <t>G7</t>
  </si>
  <si>
    <t>Wq</t>
  </si>
  <si>
    <t>G8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</si>
  <si>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</si>
  <si>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</si>
  <si>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Prob(W</t>
    </r>
    <r>
      <rPr>
        <vertAlign val="subscript"/>
        <sz val="10"/>
        <rFont val="Arial"/>
        <family val="0"/>
      </rPr>
      <t xml:space="preserve">q </t>
    </r>
    <r>
      <rPr>
        <sz val="10"/>
        <rFont val="Arial"/>
        <family val="0"/>
      </rPr>
      <t>&gt; t) =</t>
    </r>
  </si>
  <si>
    <r>
      <t>P</t>
    </r>
    <r>
      <rPr>
        <vertAlign val="subscript"/>
        <sz val="10"/>
        <rFont val="Arial"/>
        <family val="0"/>
      </rPr>
      <t>n</t>
    </r>
  </si>
  <si>
    <t>Template for Economic Analysis of M/M/s Queueing Model</t>
  </si>
  <si>
    <t>Calls Placed</t>
  </si>
  <si>
    <t>Total</t>
  </si>
  <si>
    <t>Responses</t>
  </si>
  <si>
    <t>of Total Calls</t>
  </si>
  <si>
    <t>Evening Calls</t>
  </si>
  <si>
    <t>Needed</t>
  </si>
  <si>
    <t>Total Cost</t>
  </si>
  <si>
    <t>Respondant</t>
  </si>
  <si>
    <t>Cost</t>
  </si>
  <si>
    <t>&gt;=</t>
  </si>
  <si>
    <t>&lt;=</t>
  </si>
  <si>
    <t>Young Male</t>
  </si>
  <si>
    <t>Older Male</t>
  </si>
  <si>
    <t>Young Female</t>
  </si>
  <si>
    <t>Older Female</t>
  </si>
  <si>
    <t>Bidding for Classes (Maximizing Total Points)</t>
  </si>
  <si>
    <t>Points</t>
  </si>
  <si>
    <t>Finance</t>
  </si>
  <si>
    <t>Marketing</t>
  </si>
  <si>
    <t>George</t>
  </si>
  <si>
    <t>Fred</t>
  </si>
  <si>
    <t>Ann</t>
  </si>
  <si>
    <t>Eric</t>
  </si>
  <si>
    <t>Susan</t>
  </si>
  <si>
    <t>Liz</t>
  </si>
  <si>
    <t>Ed</t>
  </si>
  <si>
    <t>David</t>
  </si>
  <si>
    <t>Tony</t>
  </si>
  <si>
    <t>Jennifer</t>
  </si>
  <si>
    <t>Shipping Cost (P--&gt;W)</t>
  </si>
  <si>
    <t>Shipping Cost (W--&gt;C)</t>
  </si>
  <si>
    <t>Fixed Cost (W)</t>
  </si>
  <si>
    <t>Total Shipped</t>
  </si>
  <si>
    <t>Warehouse to Customer</t>
  </si>
  <si>
    <t>Shipping</t>
  </si>
  <si>
    <t>Out</t>
  </si>
  <si>
    <t>In</t>
  </si>
  <si>
    <t>Warehouse Site Selection</t>
  </si>
  <si>
    <t>Region 1</t>
  </si>
  <si>
    <t>Region 2</t>
  </si>
  <si>
    <t>Region 3</t>
  </si>
  <si>
    <t>Region 4</t>
  </si>
  <si>
    <t>Region 5</t>
  </si>
  <si>
    <t>Airline Demand</t>
  </si>
  <si>
    <t>Business</t>
  </si>
  <si>
    <t>Liesure</t>
  </si>
  <si>
    <t>Travelers</t>
  </si>
  <si>
    <t>(Mid-Week)</t>
  </si>
  <si>
    <t>(Sat-Night Stay)</t>
  </si>
  <si>
    <t>Airline Pricing Model</t>
  </si>
  <si>
    <t>Demand = a * (Price)^b</t>
  </si>
  <si>
    <t>Mid-Week</t>
  </si>
  <si>
    <t>Sat-Night Stay</t>
  </si>
  <si>
    <t>Total Revenue</t>
  </si>
  <si>
    <t>Blending Nuts</t>
  </si>
  <si>
    <t>Production Cost</t>
  </si>
  <si>
    <t>Holding Cost</t>
  </si>
  <si>
    <t>Production and Inventory Planning at Surfs Up</t>
  </si>
  <si>
    <t>Production</t>
  </si>
  <si>
    <t>Jan</t>
  </si>
  <si>
    <t>Feb</t>
  </si>
  <si>
    <t>Mar</t>
  </si>
  <si>
    <t>Apr</t>
  </si>
  <si>
    <t>May</t>
  </si>
  <si>
    <t>Aug</t>
  </si>
  <si>
    <t>Oct</t>
  </si>
  <si>
    <t>Nov</t>
  </si>
  <si>
    <t>Dec</t>
  </si>
  <si>
    <t>Jun</t>
  </si>
  <si>
    <t>Jul</t>
  </si>
  <si>
    <t>Sep</t>
  </si>
  <si>
    <t>Maximum</t>
  </si>
  <si>
    <t>Forecasted Sales</t>
  </si>
  <si>
    <t>Starting Inventory</t>
  </si>
  <si>
    <t>Ending Inventory</t>
  </si>
  <si>
    <t>Available for Sale</t>
  </si>
  <si>
    <t>Revenue</t>
  </si>
  <si>
    <t>Profit</t>
  </si>
  <si>
    <t>Safety Stock</t>
  </si>
  <si>
    <t>Labor Monthly Wage</t>
  </si>
  <si>
    <t>Contingency Constraints</t>
  </si>
  <si>
    <t>Project 1,2,3</t>
  </si>
  <si>
    <t>Project 6</t>
  </si>
  <si>
    <t>Project 6,7</t>
  </si>
  <si>
    <t>Project 5</t>
  </si>
  <si>
    <t>Pattern</t>
  </si>
  <si>
    <t>Cutting Stock Problem</t>
  </si>
  <si>
    <t>Waste</t>
  </si>
  <si>
    <t>Length of</t>
  </si>
  <si>
    <t>Cut Rod</t>
  </si>
  <si>
    <t>Total Uncut Rods Needed</t>
  </si>
  <si>
    <t>Length of Uncut Rods</t>
  </si>
  <si>
    <t>Plant to Warehouse</t>
  </si>
  <si>
    <t>Shipping + Production</t>
  </si>
  <si>
    <t>Fixed</t>
  </si>
  <si>
    <t>Warehouse 1</t>
  </si>
  <si>
    <t>Warehouse 2</t>
  </si>
  <si>
    <t>Warehouse 3</t>
  </si>
  <si>
    <t>Plant 1</t>
  </si>
  <si>
    <t>Plant 2</t>
  </si>
  <si>
    <t>Shipment</t>
  </si>
  <si>
    <t>Actual</t>
  </si>
  <si>
    <t>Quantities</t>
  </si>
  <si>
    <t>Shipped</t>
  </si>
  <si>
    <t>Open?</t>
  </si>
  <si>
    <t>Total Costs</t>
  </si>
  <si>
    <t>Total Profit</t>
  </si>
  <si>
    <t>Resources</t>
  </si>
  <si>
    <t>Fertilizer (tons)</t>
  </si>
  <si>
    <t>Labor (hours)</t>
  </si>
  <si>
    <t>Oats</t>
  </si>
  <si>
    <t>Wheat</t>
  </si>
  <si>
    <t>Corn</t>
  </si>
  <si>
    <t>Used</t>
  </si>
  <si>
    <t>Resources Used per Acre</t>
  </si>
  <si>
    <t>Land (acres)</t>
  </si>
  <si>
    <t>Acres Planted</t>
  </si>
  <si>
    <t>The Prison Diet Problem</t>
  </si>
  <si>
    <t>Milk</t>
  </si>
  <si>
    <t>Beans</t>
  </si>
  <si>
    <t>CostOfService</t>
  </si>
  <si>
    <t>C18</t>
  </si>
  <si>
    <t>CostOfWaiting</t>
  </si>
  <si>
    <t>C19</t>
  </si>
  <si>
    <t>Cs</t>
  </si>
  <si>
    <t>C15</t>
  </si>
  <si>
    <t>Cw</t>
  </si>
  <si>
    <t>C16</t>
  </si>
  <si>
    <t>Economic Analysis:</t>
  </si>
  <si>
    <t>Cs =</t>
  </si>
  <si>
    <t>(cost / server / unit time)</t>
  </si>
  <si>
    <t>Cw =</t>
  </si>
  <si>
    <t>(waiting cost / unit time)</t>
  </si>
  <si>
    <t>Cost of Service</t>
  </si>
  <si>
    <t>Cost of Waiting</t>
  </si>
  <si>
    <t>TotalCost</t>
  </si>
  <si>
    <t>C20</t>
  </si>
  <si>
    <t>Search &amp; Rescue Location</t>
  </si>
  <si>
    <t>County Nearby?</t>
  </si>
  <si>
    <t>County</t>
  </si>
  <si>
    <t>Clallam</t>
  </si>
  <si>
    <t>Jefferson</t>
  </si>
  <si>
    <t>Grays Harbor</t>
  </si>
  <si>
    <t>Pacific</t>
  </si>
  <si>
    <t>Wahkiakum</t>
  </si>
  <si>
    <t>Kitsap</t>
  </si>
  <si>
    <t>Mason</t>
  </si>
  <si>
    <t>Thurston</t>
  </si>
  <si>
    <t>Whatcom</t>
  </si>
  <si>
    <t>Skagit</t>
  </si>
  <si>
    <t>Snohomish</t>
  </si>
  <si>
    <t>King</t>
  </si>
  <si>
    <t>Pierce</t>
  </si>
  <si>
    <t>Lewis</t>
  </si>
  <si>
    <t>Cowlitz</t>
  </si>
  <si>
    <t>Clark</t>
  </si>
  <si>
    <t>Skamania</t>
  </si>
  <si>
    <t>Okanogan</t>
  </si>
  <si>
    <t>Chelan</t>
  </si>
  <si>
    <t>Douglas</t>
  </si>
  <si>
    <t>Kittitas</t>
  </si>
  <si>
    <t>Grant</t>
  </si>
  <si>
    <t>Yakima</t>
  </si>
  <si>
    <t>Klickitat</t>
  </si>
  <si>
    <t>Benton</t>
  </si>
  <si>
    <t>Ferry</t>
  </si>
  <si>
    <t>Stevens</t>
  </si>
  <si>
    <t>Pend Oreille</t>
  </si>
  <si>
    <t>Lincoln</t>
  </si>
  <si>
    <t>Report Created: 11/29/2005 2:37:54 PM</t>
  </si>
  <si>
    <t>Adjustable Cells</t>
  </si>
  <si>
    <t>Cell</t>
  </si>
  <si>
    <t>Name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</si>
  <si>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</si>
  <si>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</si>
  <si>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</si>
  <si>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</si>
  <si>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</si>
  <si>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</si>
  <si>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</si>
  <si>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</si>
  <si>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</si>
  <si>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</si>
  <si>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</si>
  <si>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</si>
  <si>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</si>
  <si>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$C$12</t>
  </si>
  <si>
    <t>Production Tables</t>
  </si>
  <si>
    <t>$D$12</t>
  </si>
  <si>
    <t>Production Chairs</t>
  </si>
  <si>
    <t>$E$12</t>
  </si>
  <si>
    <t>Production Bookcases</t>
  </si>
  <si>
    <t>$F$7</t>
  </si>
  <si>
    <t>Assembly (minutes) Used</t>
  </si>
  <si>
    <t>$F$8</t>
  </si>
  <si>
    <t>Strong Sales</t>
  </si>
  <si>
    <t>Indiana (shared plant)</t>
  </si>
  <si>
    <t>Moderate Sales</t>
  </si>
  <si>
    <t>Georgia (dedicated)</t>
  </si>
  <si>
    <t>ID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</si>
  <si>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</si>
  <si>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</si>
  <si>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</si>
  <si>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</si>
  <si>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</si>
  <si>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</si>
  <si>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</si>
  <si>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</si>
  <si>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</si>
  <si>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</si>
  <si>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</si>
  <si>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</si>
  <si>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</si>
  <si>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</si>
  <si>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</si>
  <si>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</si>
  <si>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Positive Attitude</t>
  </si>
  <si>
    <t>Georgia (dedicated Plant)</t>
  </si>
  <si>
    <t>Negative Attitude</t>
  </si>
  <si>
    <t>Template for Posterior Probabilities</t>
  </si>
  <si>
    <t>Data: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</si>
  <si>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</si>
  <si>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</si>
  <si>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</si>
  <si>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</si>
  <si>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</si>
  <si>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</si>
  <si>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</si>
  <si>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</si>
  <si>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</si>
  <si>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State of Nature</t>
  </si>
  <si>
    <t>P(Finding)</t>
  </si>
  <si>
    <t>Win</t>
  </si>
  <si>
    <t>Go to Trial</t>
  </si>
  <si>
    <t>No Additional Expenses</t>
  </si>
  <si>
    <t>Lose</t>
  </si>
  <si>
    <t>Must Pay Court Fees</t>
  </si>
  <si>
    <t>Settle</t>
  </si>
  <si>
    <t>RT =</t>
  </si>
  <si>
    <t>Template for the M/M/s Queueing Model</t>
  </si>
  <si>
    <t>Data</t>
  </si>
  <si>
    <t>Results</t>
  </si>
  <si>
    <t>Range Name</t>
  </si>
  <si>
    <t>Cells</t>
  </si>
  <si>
    <t>l =</t>
  </si>
  <si>
    <t>(mean arrival rate)</t>
  </si>
  <si>
    <t>L =</t>
  </si>
  <si>
    <t>L</t>
  </si>
  <si>
    <t>G4</t>
  </si>
  <si>
    <t>m =</t>
  </si>
  <si>
    <t>(mean service rate)</t>
  </si>
  <si>
    <t>Lambda</t>
  </si>
  <si>
    <t>C4</t>
  </si>
  <si>
    <t>s =</t>
  </si>
  <si>
    <t>(# servers)</t>
  </si>
  <si>
    <t>Lq</t>
  </si>
  <si>
    <t>G5</t>
  </si>
  <si>
    <t>W =</t>
  </si>
  <si>
    <t>Mu</t>
  </si>
  <si>
    <t>C5</t>
  </si>
  <si>
    <t>Pr(W &gt; t) =</t>
  </si>
  <si>
    <t>n</t>
  </si>
  <si>
    <t>F13:F38</t>
  </si>
  <si>
    <t>when t =</t>
  </si>
  <si>
    <t>P0</t>
  </si>
  <si>
    <t>G13</t>
  </si>
  <si>
    <t>r =</t>
  </si>
  <si>
    <t>Pn</t>
  </si>
  <si>
    <t>G13:G38</t>
  </si>
  <si>
    <t>Rho</t>
  </si>
  <si>
    <t>G10</t>
  </si>
  <si>
    <t>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</si>
</sst>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Verdana"/>
      <family val="0"/>
    </font>
    <font>
      <b/>
      <sz val="9"/>
      <name val="Arial"/>
      <family val="2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b/>
      <sz val="11"/>
      <name val="Arial"/>
      <family val="0"/>
    </font>
    <font>
      <sz val="10"/>
      <name val="Geneva"/>
      <family val="0"/>
    </font>
    <font>
      <b/>
      <sz val="9"/>
      <color indexed="18"/>
      <name val="Geneva"/>
      <family val="0"/>
    </font>
    <font>
      <b/>
      <sz val="12"/>
      <name val="Geneva"/>
      <family val="0"/>
    </font>
    <font>
      <sz val="10.25"/>
      <name val="Geneva"/>
      <family val="0"/>
    </font>
    <font>
      <vertAlign val="superscript"/>
      <sz val="12"/>
      <name val="Geneva"/>
      <family val="0"/>
    </font>
    <font>
      <sz val="10"/>
      <name val="Symbo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sz val="8.25"/>
      <name val="Arial"/>
      <family val="0"/>
    </font>
    <font>
      <sz val="10"/>
      <color indexed="9"/>
      <name val="Arial"/>
      <family val="0"/>
    </font>
    <font>
      <sz val="8"/>
      <name val="Geneva"/>
      <family val="0"/>
    </font>
    <font>
      <sz val="9.25"/>
      <name val="Arial"/>
      <family val="0"/>
    </font>
    <font>
      <sz val="8.75"/>
      <name val="Arial"/>
      <family val="0"/>
    </font>
    <font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42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0" fontId="8" fillId="3" borderId="0" xfId="18" applyNumberFormat="1" applyFont="1" applyFill="1" applyBorder="1" applyAlignment="1">
      <alignment horizontal="center"/>
    </xf>
    <xf numFmtId="171" fontId="8" fillId="0" borderId="0" xfId="18" applyNumberFormat="1" applyFont="1" applyFill="1" applyBorder="1" applyAlignment="1">
      <alignment horizontal="center"/>
    </xf>
    <xf numFmtId="165" fontId="8" fillId="0" borderId="0" xfId="18" applyNumberFormat="1" applyFont="1" applyFill="1" applyBorder="1" applyAlignment="1">
      <alignment horizontal="center"/>
    </xf>
    <xf numFmtId="0" fontId="8" fillId="0" borderId="0" xfId="18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8" fillId="3" borderId="0" xfId="29" applyFont="1" applyFill="1" applyBorder="1" applyAlignment="1">
      <alignment horizontal="center"/>
    </xf>
    <xf numFmtId="3" fontId="8" fillId="0" borderId="0" xfId="16" applyNumberFormat="1" applyFont="1" applyFill="1" applyBorder="1" applyAlignment="1">
      <alignment horizontal="center"/>
    </xf>
    <xf numFmtId="167" fontId="8" fillId="0" borderId="0" xfId="16" applyNumberFormat="1" applyFont="1" applyFill="1" applyBorder="1" applyAlignment="1">
      <alignment horizontal="center"/>
    </xf>
    <xf numFmtId="0" fontId="8" fillId="3" borderId="0" xfId="16" applyNumberFormat="1" applyFont="1" applyFill="1" applyBorder="1" applyAlignment="1">
      <alignment horizontal="center"/>
    </xf>
    <xf numFmtId="9" fontId="8" fillId="0" borderId="0" xfId="29" applyFont="1" applyFill="1" applyBorder="1" applyAlignment="1">
      <alignment horizontal="center"/>
    </xf>
    <xf numFmtId="0" fontId="8" fillId="0" borderId="0" xfId="16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171" fontId="8" fillId="4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8" fillId="3" borderId="0" xfId="29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8" fillId="3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170" fontId="8" fillId="3" borderId="0" xfId="0" applyNumberFormat="1" applyFont="1" applyFill="1" applyAlignment="1">
      <alignment horizontal="center"/>
    </xf>
    <xf numFmtId="170" fontId="8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29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3" borderId="0" xfId="18" applyNumberFormat="1" applyFont="1" applyFill="1" applyBorder="1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71" fontId="8" fillId="3" borderId="0" xfId="0" applyNumberFormat="1" applyFont="1" applyFill="1" applyBorder="1" applyAlignment="1">
      <alignment horizontal="center"/>
    </xf>
    <xf numFmtId="171" fontId="8" fillId="3" borderId="0" xfId="18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3" borderId="0" xfId="29" applyNumberFormat="1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2" borderId="3" xfId="29" applyNumberFormat="1" applyFont="1" applyFill="1" applyBorder="1" applyAlignment="1">
      <alignment horizontal="center"/>
    </xf>
    <xf numFmtId="1" fontId="8" fillId="2" borderId="16" xfId="29" applyNumberFormat="1" applyFont="1" applyFill="1" applyBorder="1" applyAlignment="1">
      <alignment horizontal="center"/>
    </xf>
    <xf numFmtId="1" fontId="8" fillId="2" borderId="16" xfId="16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2" borderId="5" xfId="29" applyNumberFormat="1" applyFont="1" applyFill="1" applyBorder="1" applyAlignment="1">
      <alignment horizontal="center"/>
    </xf>
    <xf numFmtId="0" fontId="8" fillId="2" borderId="6" xfId="29" applyNumberFormat="1" applyFont="1" applyFill="1" applyBorder="1" applyAlignment="1">
      <alignment horizontal="center"/>
    </xf>
    <xf numFmtId="0" fontId="8" fillId="2" borderId="6" xfId="16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29" applyNumberFormat="1" applyFont="1" applyFill="1" applyBorder="1" applyAlignment="1">
      <alignment horizontal="center"/>
    </xf>
    <xf numFmtId="0" fontId="8" fillId="2" borderId="11" xfId="29" applyNumberFormat="1" applyFont="1" applyFill="1" applyBorder="1" applyAlignment="1">
      <alignment horizontal="center"/>
    </xf>
    <xf numFmtId="0" fontId="8" fillId="2" borderId="11" xfId="16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7" fontId="8" fillId="3" borderId="0" xfId="18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4" fontId="8" fillId="0" borderId="0" xfId="18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173" fontId="8" fillId="2" borderId="16" xfId="0" applyNumberFormat="1" applyFont="1" applyFill="1" applyBorder="1" applyAlignment="1">
      <alignment horizontal="center"/>
    </xf>
    <xf numFmtId="173" fontId="8" fillId="2" borderId="4" xfId="0" applyNumberFormat="1" applyFont="1" applyFill="1" applyBorder="1" applyAlignment="1">
      <alignment horizontal="center"/>
    </xf>
    <xf numFmtId="7" fontId="8" fillId="4" borderId="2" xfId="18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8" fillId="0" borderId="0" xfId="27" applyFont="1" applyAlignment="1">
      <alignment horizontal="right"/>
      <protection/>
    </xf>
    <xf numFmtId="171" fontId="8" fillId="3" borderId="0" xfId="27" applyNumberFormat="1" applyFont="1" applyFill="1" applyAlignment="1">
      <alignment horizontal="center"/>
      <protection/>
    </xf>
    <xf numFmtId="0" fontId="8" fillId="3" borderId="0" xfId="27" applyFont="1" applyFill="1" applyAlignment="1">
      <alignment horizontal="center"/>
      <protection/>
    </xf>
    <xf numFmtId="3" fontId="8" fillId="0" borderId="0" xfId="27" applyNumberFormat="1" applyFont="1" applyAlignment="1">
      <alignment horizontal="center"/>
      <protection/>
    </xf>
    <xf numFmtId="3" fontId="8" fillId="3" borderId="0" xfId="27" applyNumberFormat="1" applyFont="1" applyFill="1" applyAlignment="1">
      <alignment horizontal="center"/>
      <protection/>
    </xf>
    <xf numFmtId="0" fontId="8" fillId="2" borderId="3" xfId="27" applyNumberFormat="1" applyFont="1" applyFill="1" applyBorder="1" applyAlignment="1">
      <alignment horizontal="center"/>
      <protection/>
    </xf>
    <xf numFmtId="0" fontId="8" fillId="2" borderId="16" xfId="27" applyNumberFormat="1" applyFont="1" applyFill="1" applyBorder="1" applyAlignment="1">
      <alignment horizontal="center"/>
      <protection/>
    </xf>
    <xf numFmtId="0" fontId="8" fillId="2" borderId="4" xfId="27" applyNumberFormat="1" applyFont="1" applyFill="1" applyBorder="1" applyAlignment="1">
      <alignment horizontal="center"/>
      <protection/>
    </xf>
    <xf numFmtId="171" fontId="8" fillId="4" borderId="2" xfId="27" applyNumberFormat="1" applyFont="1" applyFill="1" applyBorder="1" applyAlignment="1">
      <alignment horizontal="center"/>
      <protection/>
    </xf>
    <xf numFmtId="0" fontId="8" fillId="0" borderId="0" xfId="27" applyFont="1" applyFill="1" applyAlignment="1">
      <alignment horizontal="center"/>
      <protection/>
    </xf>
    <xf numFmtId="0" fontId="8" fillId="0" borderId="0" xfId="27" applyFont="1" applyFill="1" applyAlignment="1">
      <alignment horizontal="right"/>
      <protection/>
    </xf>
    <xf numFmtId="170" fontId="8" fillId="0" borderId="0" xfId="27" applyNumberFormat="1" applyFont="1" applyAlignment="1">
      <alignment horizontal="center"/>
      <protection/>
    </xf>
    <xf numFmtId="0" fontId="7" fillId="0" borderId="0" xfId="27" applyFont="1" applyAlignment="1">
      <alignment horizontal="left"/>
      <protection/>
    </xf>
    <xf numFmtId="0" fontId="1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73" fontId="0" fillId="0" borderId="17" xfId="0" applyNumberFormat="1" applyFill="1" applyBorder="1" applyAlignment="1">
      <alignment horizontal="center"/>
    </xf>
    <xf numFmtId="171" fontId="8" fillId="0" borderId="0" xfId="27" applyNumberFormat="1" applyFont="1" applyAlignment="1">
      <alignment horizontal="center"/>
      <protection/>
    </xf>
    <xf numFmtId="0" fontId="8" fillId="0" borderId="0" xfId="27" applyNumberFormat="1" applyFont="1" applyAlignment="1">
      <alignment horizontal="center"/>
      <protection/>
    </xf>
    <xf numFmtId="4" fontId="0" fillId="0" borderId="17" xfId="0" applyNumberFormat="1" applyFill="1" applyBorder="1" applyAlignment="1">
      <alignment horizontal="center"/>
    </xf>
    <xf numFmtId="5" fontId="8" fillId="0" borderId="0" xfId="27" applyNumberFormat="1" applyFont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5" fontId="13" fillId="4" borderId="2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171" fontId="13" fillId="3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textRotation="90"/>
    </xf>
    <xf numFmtId="0" fontId="8" fillId="0" borderId="0" xfId="0" applyFont="1" applyFill="1" applyBorder="1" applyAlignment="1">
      <alignment textRotation="90"/>
    </xf>
    <xf numFmtId="0" fontId="8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2" borderId="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1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2" xfId="18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71" fontId="8" fillId="0" borderId="21" xfId="0" applyNumberFormat="1" applyFont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171" fontId="8" fillId="0" borderId="22" xfId="0" applyNumberFormat="1" applyFont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25" applyFont="1">
      <alignment/>
      <protection/>
    </xf>
    <xf numFmtId="0" fontId="13" fillId="0" borderId="0" xfId="25" applyFont="1" applyAlignment="1">
      <alignment horizontal="center"/>
      <protection/>
    </xf>
    <xf numFmtId="0" fontId="13" fillId="0" borderId="0" xfId="25" applyFont="1">
      <alignment/>
      <protection/>
    </xf>
    <xf numFmtId="0" fontId="13" fillId="0" borderId="0" xfId="25" applyFont="1" applyFill="1" applyBorder="1" applyAlignment="1">
      <alignment horizontal="center"/>
      <protection/>
    </xf>
    <xf numFmtId="0" fontId="13" fillId="0" borderId="0" xfId="25" applyFont="1" applyFill="1" applyBorder="1">
      <alignment/>
      <protection/>
    </xf>
    <xf numFmtId="171" fontId="13" fillId="0" borderId="0" xfId="25" applyNumberFormat="1" applyFont="1" applyFill="1" applyBorder="1" applyAlignment="1">
      <alignment horizontal="center"/>
      <protection/>
    </xf>
    <xf numFmtId="0" fontId="13" fillId="3" borderId="0" xfId="25" applyFont="1" applyFill="1" applyBorder="1" applyAlignment="1">
      <alignment horizontal="center"/>
      <protection/>
    </xf>
    <xf numFmtId="0" fontId="13" fillId="0" borderId="0" xfId="25" applyFont="1" applyAlignment="1">
      <alignment horizontal="left"/>
      <protection/>
    </xf>
    <xf numFmtId="0" fontId="13" fillId="0" borderId="0" xfId="25" applyFont="1" applyFill="1" applyBorder="1" applyAlignment="1">
      <alignment horizontal="right"/>
      <protection/>
    </xf>
    <xf numFmtId="3" fontId="13" fillId="3" borderId="0" xfId="25" applyNumberFormat="1" applyFont="1" applyFill="1" applyBorder="1" applyAlignment="1">
      <alignment horizontal="center"/>
      <protection/>
    </xf>
    <xf numFmtId="3" fontId="13" fillId="0" borderId="0" xfId="25" applyNumberFormat="1" applyFont="1" applyFill="1" applyBorder="1" applyAlignment="1">
      <alignment horizontal="center"/>
      <protection/>
    </xf>
    <xf numFmtId="170" fontId="13" fillId="0" borderId="0" xfId="25" applyNumberFormat="1" applyFont="1" applyFill="1" applyBorder="1" applyAlignment="1">
      <alignment horizontal="center"/>
      <protection/>
    </xf>
    <xf numFmtId="171" fontId="13" fillId="0" borderId="0" xfId="25" applyNumberFormat="1" applyFont="1" applyFill="1" applyBorder="1" applyAlignment="1">
      <alignment horizontal="right"/>
      <protection/>
    </xf>
    <xf numFmtId="171" fontId="13" fillId="3" borderId="0" xfId="25" applyNumberFormat="1" applyFont="1" applyFill="1" applyBorder="1" applyAlignment="1">
      <alignment horizontal="center"/>
      <protection/>
    </xf>
    <xf numFmtId="0" fontId="13" fillId="0" borderId="0" xfId="25" applyFont="1" applyFill="1">
      <alignment/>
      <protection/>
    </xf>
    <xf numFmtId="6" fontId="13" fillId="3" borderId="0" xfId="25" applyNumberFormat="1" applyFont="1" applyFill="1" applyBorder="1" applyAlignment="1">
      <alignment horizontal="center"/>
      <protection/>
    </xf>
    <xf numFmtId="170" fontId="13" fillId="2" borderId="3" xfId="25" applyNumberFormat="1" applyFont="1" applyFill="1" applyBorder="1" applyAlignment="1">
      <alignment horizontal="center"/>
      <protection/>
    </xf>
    <xf numFmtId="170" fontId="13" fillId="2" borderId="4" xfId="25" applyNumberFormat="1" applyFont="1" applyFill="1" applyBorder="1" applyAlignment="1">
      <alignment horizontal="center"/>
      <protection/>
    </xf>
    <xf numFmtId="0" fontId="13" fillId="0" borderId="0" xfId="25" applyFont="1" applyAlignment="1">
      <alignment horizontal="right"/>
      <protection/>
    </xf>
    <xf numFmtId="171" fontId="13" fillId="0" borderId="0" xfId="25" applyNumberFormat="1" applyFont="1" applyAlignment="1">
      <alignment horizontal="center"/>
      <protection/>
    </xf>
    <xf numFmtId="170" fontId="13" fillId="0" borderId="0" xfId="25" applyNumberFormat="1" applyFont="1" applyAlignment="1">
      <alignment horizontal="center"/>
      <protection/>
    </xf>
    <xf numFmtId="1" fontId="13" fillId="0" borderId="0" xfId="25" applyNumberFormat="1" applyFont="1" applyAlignment="1">
      <alignment horizontal="center"/>
      <protection/>
    </xf>
    <xf numFmtId="0" fontId="13" fillId="0" borderId="0" xfId="25" applyNumberFormat="1" applyFont="1" applyAlignment="1">
      <alignment horizontal="center"/>
      <protection/>
    </xf>
    <xf numFmtId="170" fontId="13" fillId="4" borderId="2" xfId="25" applyNumberFormat="1" applyFont="1" applyFill="1" applyBorder="1" applyAlignment="1">
      <alignment horizontal="center"/>
      <protection/>
    </xf>
    <xf numFmtId="170" fontId="13" fillId="2" borderId="1" xfId="25" applyNumberFormat="1" applyFont="1" applyFill="1" applyBorder="1" applyAlignment="1">
      <alignment horizontal="center"/>
      <protection/>
    </xf>
    <xf numFmtId="8" fontId="13" fillId="4" borderId="2" xfId="25" applyNumberFormat="1" applyFont="1" applyFill="1" applyBorder="1" applyAlignment="1">
      <alignment horizontal="center"/>
      <protection/>
    </xf>
    <xf numFmtId="0" fontId="9" fillId="0" borderId="0" xfId="24">
      <alignment/>
      <protection/>
    </xf>
    <xf numFmtId="0" fontId="9" fillId="0" borderId="0" xfId="24" applyProtection="1">
      <alignment/>
      <protection locked="0"/>
    </xf>
    <xf numFmtId="0" fontId="11" fillId="0" borderId="0" xfId="26" applyFont="1" applyAlignment="1">
      <alignment horizontal="left"/>
      <protection/>
    </xf>
    <xf numFmtId="0" fontId="13" fillId="0" borderId="0" xfId="26" applyFont="1" applyAlignment="1">
      <alignment horizontal="center"/>
      <protection/>
    </xf>
    <xf numFmtId="0" fontId="12" fillId="0" borderId="23" xfId="26" applyFont="1" applyFill="1" applyBorder="1" applyAlignment="1">
      <alignment horizontal="left"/>
      <protection/>
    </xf>
    <xf numFmtId="0" fontId="13" fillId="0" borderId="24" xfId="26" applyFont="1" applyFill="1" applyBorder="1" applyAlignment="1">
      <alignment horizontal="center"/>
      <protection/>
    </xf>
    <xf numFmtId="0" fontId="13" fillId="0" borderId="25" xfId="26" applyFont="1" applyFill="1" applyBorder="1" applyAlignment="1">
      <alignment horizontal="center"/>
      <protection/>
    </xf>
    <xf numFmtId="0" fontId="13" fillId="0" borderId="9" xfId="26" applyFont="1" applyFill="1" applyBorder="1" applyAlignment="1">
      <alignment horizontal="center"/>
      <protection/>
    </xf>
    <xf numFmtId="0" fontId="13" fillId="0" borderId="26" xfId="26" applyFont="1" applyFill="1" applyBorder="1" applyAlignment="1">
      <alignment horizontal="center"/>
      <protection/>
    </xf>
    <xf numFmtId="0" fontId="13" fillId="0" borderId="12" xfId="26" applyFont="1" applyFill="1" applyBorder="1" applyAlignment="1">
      <alignment horizontal="center"/>
      <protection/>
    </xf>
    <xf numFmtId="0" fontId="13" fillId="3" borderId="11" xfId="26" applyFont="1" applyFill="1" applyBorder="1" applyAlignment="1">
      <alignment horizontal="center"/>
      <protection/>
    </xf>
    <xf numFmtId="0" fontId="13" fillId="3" borderId="27" xfId="26" applyFont="1" applyFill="1" applyBorder="1" applyAlignment="1">
      <alignment horizontal="center"/>
      <protection/>
    </xf>
    <xf numFmtId="0" fontId="13" fillId="3" borderId="25" xfId="26" applyFont="1" applyFill="1" applyBorder="1" applyAlignment="1">
      <alignment horizontal="center"/>
      <protection/>
    </xf>
    <xf numFmtId="0" fontId="13" fillId="3" borderId="9" xfId="26" applyFont="1" applyFill="1" applyBorder="1" applyAlignment="1">
      <alignment horizontal="center"/>
      <protection/>
    </xf>
    <xf numFmtId="0" fontId="13" fillId="3" borderId="0" xfId="26" applyFont="1" applyFill="1" applyBorder="1" applyAlignment="1">
      <alignment horizontal="center"/>
      <protection/>
    </xf>
    <xf numFmtId="0" fontId="13" fillId="3" borderId="28" xfId="26" applyFont="1" applyFill="1" applyBorder="1" applyAlignment="1">
      <alignment horizontal="center"/>
      <protection/>
    </xf>
    <xf numFmtId="0" fontId="13" fillId="3" borderId="29" xfId="26" applyFont="1" applyFill="1" applyBorder="1" applyAlignment="1">
      <alignment horizontal="center"/>
      <protection/>
    </xf>
    <xf numFmtId="0" fontId="13" fillId="3" borderId="30" xfId="26" applyFont="1" applyFill="1" applyBorder="1" applyAlignment="1">
      <alignment horizontal="center"/>
      <protection/>
    </xf>
    <xf numFmtId="0" fontId="13" fillId="3" borderId="31" xfId="26" applyFont="1" applyFill="1" applyBorder="1" applyAlignment="1">
      <alignment horizontal="center"/>
      <protection/>
    </xf>
    <xf numFmtId="0" fontId="13" fillId="3" borderId="32" xfId="26" applyFont="1" applyFill="1" applyBorder="1" applyAlignment="1">
      <alignment horizontal="center"/>
      <protection/>
    </xf>
    <xf numFmtId="0" fontId="12" fillId="0" borderId="33" xfId="26" applyFont="1" applyFill="1" applyBorder="1" applyAlignment="1">
      <alignment horizontal="left"/>
      <protection/>
    </xf>
    <xf numFmtId="0" fontId="13" fillId="0" borderId="34" xfId="26" applyFont="1" applyFill="1" applyBorder="1" applyAlignment="1">
      <alignment horizontal="center"/>
      <protection/>
    </xf>
    <xf numFmtId="0" fontId="12" fillId="0" borderId="35" xfId="26" applyFont="1" applyFill="1" applyBorder="1" applyAlignment="1">
      <alignment horizontal="left"/>
      <protection/>
    </xf>
    <xf numFmtId="0" fontId="13" fillId="0" borderId="36" xfId="26" applyFont="1" applyFill="1" applyBorder="1" applyAlignment="1">
      <alignment horizontal="center"/>
      <protection/>
    </xf>
    <xf numFmtId="0" fontId="13" fillId="0" borderId="4" xfId="26" applyFont="1" applyFill="1" applyBorder="1" applyAlignment="1">
      <alignment horizontal="center"/>
      <protection/>
    </xf>
    <xf numFmtId="0" fontId="13" fillId="4" borderId="10" xfId="26" applyNumberFormat="1" applyFont="1" applyFill="1" applyBorder="1" applyAlignment="1">
      <alignment horizontal="center"/>
      <protection/>
    </xf>
    <xf numFmtId="0" fontId="13" fillId="4" borderId="11" xfId="26" applyNumberFormat="1" applyFont="1" applyFill="1" applyBorder="1" applyAlignment="1">
      <alignment horizontal="center"/>
      <protection/>
    </xf>
    <xf numFmtId="0" fontId="13" fillId="4" borderId="27" xfId="26" applyNumberFormat="1" applyFont="1" applyFill="1" applyBorder="1" applyAlignment="1">
      <alignment horizontal="center"/>
      <protection/>
    </xf>
    <xf numFmtId="0" fontId="13" fillId="4" borderId="37" xfId="26" applyFont="1" applyFill="1" applyBorder="1" applyAlignment="1">
      <alignment horizontal="center"/>
      <protection/>
    </xf>
    <xf numFmtId="0" fontId="13" fillId="4" borderId="7" xfId="26" applyFont="1" applyFill="1" applyBorder="1" applyAlignment="1">
      <alignment horizontal="center"/>
      <protection/>
    </xf>
    <xf numFmtId="0" fontId="13" fillId="4" borderId="0" xfId="26" applyFont="1" applyFill="1" applyBorder="1" applyAlignment="1">
      <alignment horizontal="center"/>
      <protection/>
    </xf>
    <xf numFmtId="0" fontId="13" fillId="4" borderId="28" xfId="26" applyFont="1" applyFill="1" applyBorder="1" applyAlignment="1">
      <alignment horizontal="center"/>
      <protection/>
    </xf>
    <xf numFmtId="0" fontId="13" fillId="4" borderId="9" xfId="26" applyFont="1" applyFill="1" applyBorder="1" applyAlignment="1">
      <alignment horizontal="center"/>
      <protection/>
    </xf>
    <xf numFmtId="0" fontId="13" fillId="4" borderId="38" xfId="26" applyFont="1" applyFill="1" applyBorder="1" applyAlignment="1">
      <alignment horizontal="center"/>
      <protection/>
    </xf>
    <xf numFmtId="0" fontId="13" fillId="4" borderId="30" xfId="26" applyFont="1" applyFill="1" applyBorder="1" applyAlignment="1">
      <alignment horizontal="center"/>
      <protection/>
    </xf>
    <xf numFmtId="0" fontId="13" fillId="4" borderId="31" xfId="26" applyFont="1" applyFill="1" applyBorder="1" applyAlignment="1">
      <alignment horizontal="center"/>
      <protection/>
    </xf>
    <xf numFmtId="0" fontId="13" fillId="4" borderId="32" xfId="26" applyFont="1" applyFill="1" applyBorder="1" applyAlignment="1">
      <alignment horizontal="center"/>
      <protection/>
    </xf>
    <xf numFmtId="0" fontId="9" fillId="0" borderId="0" xfId="24" applyAlignment="1">
      <alignment horizontal="right"/>
      <protection/>
    </xf>
    <xf numFmtId="0" fontId="9" fillId="3" borderId="0" xfId="24" applyFill="1" applyAlignment="1">
      <alignment horizontal="left"/>
      <protection/>
    </xf>
    <xf numFmtId="0" fontId="11" fillId="0" borderId="0" xfId="23" applyFont="1" applyBorder="1" applyProtection="1">
      <alignment/>
      <protection locked="0"/>
    </xf>
    <xf numFmtId="0" fontId="13" fillId="0" borderId="0" xfId="23" applyFont="1" applyBorder="1" applyAlignment="1" applyProtection="1">
      <alignment horizontal="right"/>
      <protection locked="0"/>
    </xf>
    <xf numFmtId="0" fontId="13" fillId="0" borderId="0" xfId="23" applyFont="1" applyBorder="1" applyAlignment="1" applyProtection="1">
      <alignment horizontal="center"/>
      <protection locked="0"/>
    </xf>
    <xf numFmtId="0" fontId="13" fillId="0" borderId="0" xfId="23" applyFont="1" applyBorder="1" applyProtection="1">
      <alignment/>
      <protection locked="0"/>
    </xf>
    <xf numFmtId="0" fontId="13" fillId="0" borderId="0" xfId="23" applyFont="1" applyFill="1" applyBorder="1" applyProtection="1">
      <alignment/>
      <protection locked="0"/>
    </xf>
    <xf numFmtId="0" fontId="13" fillId="0" borderId="0" xfId="23" applyFont="1" applyProtection="1">
      <alignment/>
      <protection locked="0"/>
    </xf>
    <xf numFmtId="0" fontId="12" fillId="0" borderId="0" xfId="23" applyFont="1" applyBorder="1" applyAlignment="1" applyProtection="1">
      <alignment horizontal="center"/>
      <protection locked="0"/>
    </xf>
    <xf numFmtId="0" fontId="12" fillId="0" borderId="0" xfId="23" applyFont="1" applyFill="1" applyBorder="1" applyAlignment="1" applyProtection="1">
      <alignment horizontal="centerContinuous"/>
      <protection locked="0"/>
    </xf>
    <xf numFmtId="0" fontId="12" fillId="5" borderId="33" xfId="23" applyFont="1" applyFill="1" applyBorder="1">
      <alignment/>
      <protection/>
    </xf>
    <xf numFmtId="0" fontId="12" fillId="5" borderId="39" xfId="23" applyFont="1" applyFill="1" applyBorder="1">
      <alignment/>
      <protection/>
    </xf>
    <xf numFmtId="0" fontId="21" fillId="0" borderId="0" xfId="23" applyFont="1" applyFill="1" applyBorder="1" applyAlignment="1" applyProtection="1">
      <alignment horizontal="right"/>
      <protection locked="0"/>
    </xf>
    <xf numFmtId="0" fontId="13" fillId="3" borderId="0" xfId="23" applyFont="1" applyFill="1" applyBorder="1" applyAlignment="1" applyProtection="1">
      <alignment horizontal="center"/>
      <protection locked="0"/>
    </xf>
    <xf numFmtId="0" fontId="13" fillId="0" borderId="0" xfId="23" applyNumberFormat="1" applyFont="1" applyBorder="1" applyProtection="1">
      <alignment/>
      <protection/>
    </xf>
    <xf numFmtId="0" fontId="13" fillId="0" borderId="0" xfId="23" applyFont="1" applyFill="1" applyBorder="1" applyAlignment="1" applyProtection="1">
      <alignment horizontal="right"/>
      <protection/>
    </xf>
    <xf numFmtId="0" fontId="13" fillId="4" borderId="21" xfId="23" applyNumberFormat="1" applyFont="1" applyFill="1" applyBorder="1" applyAlignment="1" applyProtection="1">
      <alignment horizontal="right"/>
      <protection/>
    </xf>
    <xf numFmtId="0" fontId="13" fillId="5" borderId="33" xfId="23" applyFont="1" applyFill="1" applyBorder="1">
      <alignment/>
      <protection/>
    </xf>
    <xf numFmtId="0" fontId="13" fillId="5" borderId="39" xfId="23" applyFont="1" applyFill="1" applyBorder="1">
      <alignment/>
      <protection/>
    </xf>
    <xf numFmtId="0" fontId="13" fillId="4" borderId="22" xfId="23" applyNumberFormat="1" applyFont="1" applyFill="1" applyBorder="1" applyAlignment="1" applyProtection="1">
      <alignment horizontal="right"/>
      <protection/>
    </xf>
    <xf numFmtId="0" fontId="13" fillId="5" borderId="37" xfId="23" applyFont="1" applyFill="1" applyBorder="1">
      <alignment/>
      <protection/>
    </xf>
    <xf numFmtId="0" fontId="13" fillId="5" borderId="28" xfId="23" applyFont="1" applyFill="1" applyBorder="1">
      <alignment/>
      <protection/>
    </xf>
    <xf numFmtId="0" fontId="13" fillId="0" borderId="0" xfId="23" applyFont="1" applyFill="1" applyBorder="1" applyAlignment="1" applyProtection="1">
      <alignment horizontal="right"/>
      <protection locked="0"/>
    </xf>
    <xf numFmtId="0" fontId="23" fillId="0" borderId="0" xfId="23" applyFont="1" applyBorder="1" applyAlignment="1" applyProtection="1">
      <alignment horizontal="center"/>
      <protection locked="0"/>
    </xf>
    <xf numFmtId="0" fontId="13" fillId="0" borderId="0" xfId="23" applyFont="1" applyFill="1" applyBorder="1" applyAlignment="1" applyProtection="1">
      <alignment horizontal="center"/>
      <protection locked="0"/>
    </xf>
    <xf numFmtId="0" fontId="13" fillId="4" borderId="2" xfId="23" applyNumberFormat="1" applyFont="1" applyFill="1" applyBorder="1" applyAlignment="1" applyProtection="1">
      <alignment horizontal="center"/>
      <protection/>
    </xf>
    <xf numFmtId="0" fontId="12" fillId="0" borderId="0" xfId="23" applyFont="1" applyFill="1" applyBorder="1" applyProtection="1">
      <alignment/>
      <protection locked="0"/>
    </xf>
    <xf numFmtId="0" fontId="21" fillId="0" borderId="0" xfId="23" applyFont="1" applyFill="1" applyBorder="1" applyAlignment="1" applyProtection="1">
      <alignment horizontal="right"/>
      <protection/>
    </xf>
    <xf numFmtId="0" fontId="13" fillId="4" borderId="40" xfId="23" applyNumberFormat="1" applyFont="1" applyFill="1" applyBorder="1" applyAlignment="1" applyProtection="1">
      <alignment horizontal="right"/>
      <protection/>
    </xf>
    <xf numFmtId="0" fontId="13" fillId="0" borderId="0" xfId="23" applyFont="1" applyBorder="1" applyAlignment="1" applyProtection="1">
      <alignment horizontal="right"/>
      <protection/>
    </xf>
    <xf numFmtId="0" fontId="13" fillId="0" borderId="0" xfId="23" applyFont="1" applyFill="1" applyBorder="1" applyAlignment="1" applyProtection="1">
      <alignment horizontal="center"/>
      <protection/>
    </xf>
    <xf numFmtId="0" fontId="13" fillId="5" borderId="38" xfId="23" applyFont="1" applyFill="1" applyBorder="1">
      <alignment/>
      <protection/>
    </xf>
    <xf numFmtId="0" fontId="13" fillId="5" borderId="32" xfId="23" applyFont="1" applyFill="1" applyBorder="1">
      <alignment/>
      <protection/>
    </xf>
    <xf numFmtId="0" fontId="11" fillId="0" borderId="0" xfId="28" applyFont="1" applyBorder="1" applyProtection="1">
      <alignment/>
      <protection locked="0"/>
    </xf>
    <xf numFmtId="0" fontId="13" fillId="0" borderId="0" xfId="28" applyFont="1" applyBorder="1" applyAlignment="1" applyProtection="1">
      <alignment horizontal="right"/>
      <protection locked="0"/>
    </xf>
    <xf numFmtId="0" fontId="13" fillId="0" borderId="0" xfId="28" applyFont="1" applyBorder="1" applyAlignment="1" applyProtection="1">
      <alignment horizontal="center"/>
      <protection locked="0"/>
    </xf>
    <xf numFmtId="0" fontId="13" fillId="0" borderId="0" xfId="28" applyFont="1" applyBorder="1" applyProtection="1">
      <alignment/>
      <protection locked="0"/>
    </xf>
    <xf numFmtId="0" fontId="13" fillId="0" borderId="0" xfId="28" applyFont="1" applyProtection="1">
      <alignment/>
      <protection locked="0"/>
    </xf>
    <xf numFmtId="0" fontId="12" fillId="0" borderId="0" xfId="28" applyFont="1" applyBorder="1" applyAlignment="1" applyProtection="1">
      <alignment horizontal="center"/>
      <protection locked="0"/>
    </xf>
    <xf numFmtId="0" fontId="12" fillId="0" borderId="0" xfId="28" applyFont="1" applyBorder="1" applyAlignment="1" applyProtection="1">
      <alignment horizontal="centerContinuous"/>
      <protection locked="0"/>
    </xf>
    <xf numFmtId="0" fontId="12" fillId="5" borderId="33" xfId="28" applyFont="1" applyFill="1" applyBorder="1" applyProtection="1">
      <alignment/>
      <protection locked="0"/>
    </xf>
    <xf numFmtId="0" fontId="12" fillId="5" borderId="39" xfId="28" applyFont="1" applyFill="1" applyBorder="1" applyProtection="1">
      <alignment/>
      <protection locked="0"/>
    </xf>
    <xf numFmtId="0" fontId="21" fillId="0" borderId="0" xfId="28" applyFont="1" applyFill="1" applyBorder="1" applyAlignment="1" applyProtection="1">
      <alignment horizontal="right"/>
      <protection locked="0"/>
    </xf>
    <xf numFmtId="0" fontId="13" fillId="3" borderId="0" xfId="28" applyFont="1" applyFill="1" applyBorder="1" applyAlignment="1" applyProtection="1">
      <alignment horizontal="center"/>
      <protection locked="0"/>
    </xf>
    <xf numFmtId="0" fontId="13" fillId="0" borderId="0" xfId="28" applyFont="1" applyFill="1" applyBorder="1" applyProtection="1">
      <alignment/>
      <protection locked="0"/>
    </xf>
    <xf numFmtId="0" fontId="13" fillId="0" borderId="0" xfId="28" applyFont="1" applyFill="1" applyBorder="1" applyAlignment="1" applyProtection="1">
      <alignment horizontal="right"/>
      <protection/>
    </xf>
    <xf numFmtId="0" fontId="13" fillId="4" borderId="21" xfId="28" applyFont="1" applyFill="1" applyBorder="1" applyProtection="1">
      <alignment/>
      <protection/>
    </xf>
    <xf numFmtId="0" fontId="13" fillId="5" borderId="33" xfId="28" applyNumberFormat="1" applyFont="1" applyFill="1" applyBorder="1" applyProtection="1">
      <alignment/>
      <protection locked="0"/>
    </xf>
    <xf numFmtId="0" fontId="13" fillId="5" borderId="39" xfId="28" applyNumberFormat="1" applyFont="1" applyFill="1" applyBorder="1" applyProtection="1">
      <alignment/>
      <protection locked="0"/>
    </xf>
    <xf numFmtId="0" fontId="13" fillId="4" borderId="22" xfId="28" applyFont="1" applyFill="1" applyBorder="1" applyProtection="1">
      <alignment/>
      <protection/>
    </xf>
    <xf numFmtId="0" fontId="13" fillId="5" borderId="37" xfId="28" applyNumberFormat="1" applyFont="1" applyFill="1" applyBorder="1" applyProtection="1">
      <alignment/>
      <protection locked="0"/>
    </xf>
    <xf numFmtId="0" fontId="13" fillId="5" borderId="28" xfId="28" applyNumberFormat="1" applyFont="1" applyFill="1" applyBorder="1" applyProtection="1">
      <alignment/>
      <protection locked="0"/>
    </xf>
    <xf numFmtId="0" fontId="13" fillId="0" borderId="0" xfId="28" applyFont="1" applyFill="1" applyBorder="1" applyAlignment="1" applyProtection="1">
      <alignment horizontal="right"/>
      <protection locked="0"/>
    </xf>
    <xf numFmtId="0" fontId="13" fillId="0" borderId="0" xfId="28" applyFont="1" applyFill="1" applyBorder="1" applyAlignment="1" applyProtection="1">
      <alignment horizontal="center"/>
      <protection locked="0"/>
    </xf>
    <xf numFmtId="0" fontId="13" fillId="4" borderId="2" xfId="28" applyFont="1" applyFill="1" applyBorder="1" applyAlignment="1" applyProtection="1">
      <alignment horizontal="center"/>
      <protection/>
    </xf>
    <xf numFmtId="0" fontId="12" fillId="0" borderId="0" xfId="28" applyFont="1" applyFill="1" applyBorder="1" applyProtection="1">
      <alignment/>
      <protection locked="0"/>
    </xf>
    <xf numFmtId="0" fontId="21" fillId="0" borderId="0" xfId="28" applyFont="1" applyFill="1" applyBorder="1" applyAlignment="1" applyProtection="1">
      <alignment horizontal="right"/>
      <protection/>
    </xf>
    <xf numFmtId="0" fontId="13" fillId="4" borderId="40" xfId="28" applyFont="1" applyFill="1" applyBorder="1" applyProtection="1">
      <alignment/>
      <protection/>
    </xf>
    <xf numFmtId="0" fontId="13" fillId="0" borderId="0" xfId="28" applyFont="1" applyBorder="1" applyAlignment="1" applyProtection="1">
      <alignment horizontal="right"/>
      <protection/>
    </xf>
    <xf numFmtId="0" fontId="13" fillId="0" borderId="0" xfId="28" applyFont="1" applyBorder="1" applyAlignment="1" applyProtection="1">
      <alignment horizontal="center"/>
      <protection/>
    </xf>
    <xf numFmtId="0" fontId="25" fillId="0" borderId="0" xfId="28" applyNumberFormat="1" applyFont="1" applyBorder="1" applyProtection="1">
      <alignment/>
      <protection/>
    </xf>
    <xf numFmtId="170" fontId="13" fillId="3" borderId="0" xfId="28" applyNumberFormat="1" applyFont="1" applyFill="1" applyBorder="1" applyAlignment="1" applyProtection="1">
      <alignment horizontal="center"/>
      <protection locked="0"/>
    </xf>
    <xf numFmtId="170" fontId="13" fillId="0" borderId="0" xfId="28" applyNumberFormat="1" applyFont="1" applyFill="1" applyBorder="1" applyAlignment="1" applyProtection="1">
      <alignment horizontal="center"/>
      <protection locked="0"/>
    </xf>
    <xf numFmtId="170" fontId="13" fillId="4" borderId="2" xfId="28" applyNumberFormat="1" applyFont="1" applyFill="1" applyBorder="1" applyAlignment="1" applyProtection="1">
      <alignment horizontal="center"/>
      <protection locked="0"/>
    </xf>
    <xf numFmtId="0" fontId="13" fillId="5" borderId="38" xfId="28" applyNumberFormat="1" applyFont="1" applyFill="1" applyBorder="1" applyProtection="1">
      <alignment/>
      <protection locked="0"/>
    </xf>
    <xf numFmtId="0" fontId="13" fillId="5" borderId="32" xfId="28" applyNumberFormat="1" applyFont="1" applyFill="1" applyBorder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9" fillId="5" borderId="41" xfId="0" applyFont="1" applyFill="1" applyBorder="1" applyAlignment="1" applyProtection="1">
      <alignment/>
      <protection locked="0"/>
    </xf>
    <xf numFmtId="0" fontId="9" fillId="5" borderId="42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5" borderId="37" xfId="0" applyNumberFormat="1" applyFont="1" applyFill="1" applyBorder="1" applyAlignment="1" applyProtection="1">
      <alignment/>
      <protection locked="0"/>
    </xf>
    <xf numFmtId="0" fontId="9" fillId="5" borderId="28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3" fontId="13" fillId="3" borderId="0" xfId="0" applyNumberFormat="1" applyFont="1" applyFill="1" applyBorder="1" applyAlignment="1" applyProtection="1">
      <alignment horizontal="center"/>
      <protection locked="0"/>
    </xf>
    <xf numFmtId="0" fontId="13" fillId="4" borderId="2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3" fontId="13" fillId="4" borderId="2" xfId="0" applyNumberFormat="1" applyFont="1" applyFill="1" applyBorder="1" applyAlignment="1" applyProtection="1">
      <alignment horizontal="center"/>
      <protection/>
    </xf>
    <xf numFmtId="3" fontId="13" fillId="4" borderId="22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 locked="0"/>
    </xf>
    <xf numFmtId="3" fontId="13" fillId="4" borderId="2" xfId="0" applyNumberFormat="1" applyFont="1" applyFill="1" applyBorder="1" applyAlignment="1" applyProtection="1">
      <alignment horizontal="center"/>
      <protection locked="0"/>
    </xf>
    <xf numFmtId="0" fontId="9" fillId="5" borderId="38" xfId="0" applyNumberFormat="1" applyFont="1" applyFill="1" applyBorder="1" applyAlignment="1" applyProtection="1">
      <alignment/>
      <protection locked="0"/>
    </xf>
    <xf numFmtId="0" fontId="9" fillId="5" borderId="32" xfId="0" applyNumberFormat="1" applyFont="1" applyFill="1" applyBorder="1" applyAlignment="1" applyProtection="1">
      <alignment/>
      <protection locked="0"/>
    </xf>
    <xf numFmtId="3" fontId="13" fillId="4" borderId="40" xfId="0" applyNumberFormat="1" applyFont="1" applyFill="1" applyBorder="1" applyAlignment="1" applyProtection="1">
      <alignment horizontal="center"/>
      <protection/>
    </xf>
    <xf numFmtId="0" fontId="13" fillId="5" borderId="41" xfId="0" applyFont="1" applyFill="1" applyBorder="1" applyAlignment="1" applyProtection="1">
      <alignment/>
      <protection locked="0"/>
    </xf>
    <xf numFmtId="0" fontId="13" fillId="5" borderId="42" xfId="0" applyFont="1" applyFill="1" applyBorder="1" applyAlignment="1" applyProtection="1">
      <alignment/>
      <protection locked="0"/>
    </xf>
    <xf numFmtId="0" fontId="13" fillId="5" borderId="37" xfId="0" applyNumberFormat="1" applyFont="1" applyFill="1" applyBorder="1" applyAlignment="1" applyProtection="1">
      <alignment/>
      <protection locked="0"/>
    </xf>
    <xf numFmtId="0" fontId="13" fillId="5" borderId="28" xfId="0" applyNumberFormat="1" applyFont="1" applyFill="1" applyBorder="1" applyAlignment="1" applyProtection="1">
      <alignment/>
      <protection locked="0"/>
    </xf>
    <xf numFmtId="0" fontId="13" fillId="5" borderId="38" xfId="0" applyNumberFormat="1" applyFont="1" applyFill="1" applyBorder="1" applyAlignment="1" applyProtection="1">
      <alignment/>
      <protection locked="0"/>
    </xf>
    <xf numFmtId="0" fontId="13" fillId="5" borderId="32" xfId="0" applyNumberFormat="1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3" fontId="13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3" fontId="13" fillId="4" borderId="21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 locked="0"/>
    </xf>
    <xf numFmtId="0" fontId="13" fillId="3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2" fillId="5" borderId="41" xfId="0" applyFont="1" applyFill="1" applyBorder="1" applyAlignment="1" applyProtection="1">
      <alignment horizontal="left"/>
      <protection locked="0"/>
    </xf>
    <xf numFmtId="0" fontId="12" fillId="5" borderId="42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5" borderId="37" xfId="0" applyNumberFormat="1" applyFont="1" applyFill="1" applyBorder="1" applyAlignment="1" applyProtection="1">
      <alignment horizontal="left"/>
      <protection locked="0"/>
    </xf>
    <xf numFmtId="0" fontId="13" fillId="5" borderId="28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3" fontId="13" fillId="4" borderId="21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3" fontId="13" fillId="4" borderId="2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181" fontId="13" fillId="4" borderId="2" xfId="0" applyNumberFormat="1" applyFont="1" applyFill="1" applyBorder="1" applyAlignment="1" applyProtection="1">
      <alignment horizontal="center"/>
      <protection locked="0"/>
    </xf>
    <xf numFmtId="0" fontId="13" fillId="5" borderId="38" xfId="0" applyNumberFormat="1" applyFont="1" applyFill="1" applyBorder="1" applyAlignment="1" applyProtection="1">
      <alignment horizontal="left"/>
      <protection locked="0"/>
    </xf>
    <xf numFmtId="0" fontId="13" fillId="5" borderId="32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3" fontId="13" fillId="4" borderId="4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5" borderId="41" xfId="0" applyNumberFormat="1" applyFont="1" applyFill="1" applyBorder="1" applyAlignment="1">
      <alignment horizontal="left"/>
    </xf>
    <xf numFmtId="0" fontId="12" fillId="5" borderId="42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3" fillId="5" borderId="37" xfId="0" applyNumberFormat="1" applyFont="1" applyFill="1" applyBorder="1" applyAlignment="1">
      <alignment horizontal="left"/>
    </xf>
    <xf numFmtId="0" fontId="13" fillId="5" borderId="28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5" borderId="38" xfId="0" applyNumberFormat="1" applyFont="1" applyFill="1" applyBorder="1" applyAlignment="1">
      <alignment horizontal="left"/>
    </xf>
    <xf numFmtId="0" fontId="13" fillId="5" borderId="32" xfId="0" applyNumberFormat="1" applyFont="1" applyFill="1" applyBorder="1" applyAlignment="1">
      <alignment horizontal="left"/>
    </xf>
    <xf numFmtId="172" fontId="13" fillId="4" borderId="21" xfId="0" applyNumberFormat="1" applyFont="1" applyFill="1" applyBorder="1" applyAlignment="1">
      <alignment horizontal="center"/>
    </xf>
    <xf numFmtId="172" fontId="13" fillId="4" borderId="22" xfId="0" applyNumberFormat="1" applyFont="1" applyFill="1" applyBorder="1" applyAlignment="1">
      <alignment horizontal="center"/>
    </xf>
    <xf numFmtId="173" fontId="13" fillId="0" borderId="22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173" fontId="13" fillId="0" borderId="4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2" fillId="5" borderId="41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center"/>
    </xf>
    <xf numFmtId="3" fontId="13" fillId="4" borderId="22" xfId="0" applyNumberFormat="1" applyFont="1" applyFill="1" applyBorder="1" applyAlignment="1">
      <alignment horizontal="center"/>
    </xf>
    <xf numFmtId="173" fontId="13" fillId="3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8" fontId="13" fillId="4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3" fontId="13" fillId="4" borderId="2" xfId="0" applyNumberFormat="1" applyFont="1" applyFill="1" applyBorder="1" applyAlignment="1">
      <alignment horizontal="center"/>
    </xf>
    <xf numFmtId="3" fontId="13" fillId="4" borderId="40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73" fontId="13" fillId="3" borderId="0" xfId="0" applyNumberFormat="1" applyFont="1" applyFill="1" applyAlignment="1">
      <alignment horizontal="center"/>
    </xf>
    <xf numFmtId="181" fontId="13" fillId="4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3" fontId="13" fillId="3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5" borderId="33" xfId="0" applyNumberFormat="1" applyFont="1" applyFill="1" applyBorder="1" applyAlignment="1">
      <alignment horizontal="left"/>
    </xf>
    <xf numFmtId="0" fontId="13" fillId="5" borderId="39" xfId="0" applyNumberFormat="1" applyFont="1" applyFill="1" applyBorder="1" applyAlignment="1">
      <alignment horizontal="left"/>
    </xf>
    <xf numFmtId="1" fontId="13" fillId="4" borderId="22" xfId="0" applyNumberFormat="1" applyFont="1" applyFill="1" applyBorder="1" applyAlignment="1" applyProtection="1">
      <alignment horizontal="center"/>
      <protection locked="0"/>
    </xf>
    <xf numFmtId="2" fontId="13" fillId="3" borderId="0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1" fontId="13" fillId="4" borderId="40" xfId="0" applyNumberFormat="1" applyFont="1" applyFill="1" applyBorder="1" applyAlignment="1" applyProtection="1">
      <alignment horizontal="center"/>
      <protection locked="0"/>
    </xf>
    <xf numFmtId="181" fontId="13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3" fillId="0" borderId="43" xfId="26" applyFont="1" applyFill="1" applyBorder="1" applyAlignment="1">
      <alignment horizontal="center"/>
      <protection/>
    </xf>
    <xf numFmtId="0" fontId="13" fillId="0" borderId="44" xfId="26" applyFont="1" applyFill="1" applyBorder="1" applyAlignment="1">
      <alignment horizontal="center"/>
      <protection/>
    </xf>
    <xf numFmtId="0" fontId="13" fillId="0" borderId="39" xfId="26" applyFont="1" applyFill="1" applyBorder="1" applyAlignment="1">
      <alignment horizontal="center"/>
      <protection/>
    </xf>
    <xf numFmtId="0" fontId="13" fillId="0" borderId="8" xfId="26" applyFont="1" applyFill="1" applyBorder="1" applyAlignment="1">
      <alignment horizontal="center"/>
      <protection/>
    </xf>
    <xf numFmtId="0" fontId="13" fillId="0" borderId="0" xfId="26" applyFont="1" applyFill="1" applyBorder="1" applyAlignment="1">
      <alignment horizontal="center"/>
      <protection/>
    </xf>
    <xf numFmtId="0" fontId="13" fillId="0" borderId="28" xfId="26" applyFont="1" applyFill="1" applyBorder="1" applyAlignment="1">
      <alignment horizontal="center"/>
      <protection/>
    </xf>
  </cellXfs>
  <cellStyles count="17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Normal_Answers 11.xls" xfId="23"/>
    <cellStyle name="Normal_Answers 9.xls" xfId="24"/>
    <cellStyle name="Normal_Applications.xls" xfId="25"/>
    <cellStyle name="Normal_Ch.10 - Decision Analysis.xls" xfId="26"/>
    <cellStyle name="Normal_Final Solution.xls" xfId="27"/>
    <cellStyle name="Normal_MMs Economic Analysis.xls" xfId="28"/>
    <cellStyle name="Percent" xfId="29"/>
    <cellStyle name="Target Cell" xfId="30"/>
  </cellStyles>
  <dxfs count="5">
    <dxf>
      <font>
        <color rgb="FFC0C0C0"/>
      </font>
      <border/>
    </dxf>
    <dxf>
      <font>
        <color rgb="FFFF9900"/>
      </font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Demand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445"/>
          <c:w val="0.6107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'8.1a Airline Demand'!$C$5</c:f>
              <c:strCache>
                <c:ptCount val="1"/>
                <c:pt idx="0">
                  <c:v>(Mid-Week)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Geneva"/>
                        <a:ea typeface="Geneva"/>
                        <a:cs typeface="Geneva"/>
                      </a:rPr>
                      <a:t>y = 102922x</a:t>
                    </a:r>
                    <a:r>
                      <a:rPr lang="en-US" cap="none" sz="1200" b="0" i="0" u="none" baseline="30000">
                        <a:latin typeface="Geneva"/>
                        <a:ea typeface="Geneva"/>
                        <a:cs typeface="Geneva"/>
                      </a:rPr>
                      <a:t>-1.21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'8.1a Airline Demand'!$B$6:$B$12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'8.1a Airline Demand'!$C$6:$C$12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'8.1a Airline Demand'!$D$5</c:f>
              <c:strCache>
                <c:ptCount val="1"/>
                <c:pt idx="0">
                  <c:v>(Sat-Night Stay)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Geneva"/>
                        <a:ea typeface="Geneva"/>
                        <a:cs typeface="Geneva"/>
                      </a:rPr>
                      <a:t>y = 7490107x</a:t>
                    </a:r>
                    <a:r>
                      <a:rPr lang="en-US" cap="none" sz="1200" b="0" i="0" u="none" baseline="30000">
                        <a:latin typeface="Geneva"/>
                        <a:ea typeface="Geneva"/>
                        <a:cs typeface="Geneva"/>
                      </a:rPr>
                      <a:t>-1.83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'8.1a Airline Demand'!$B$6:$B$12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'8.1a Airline Demand'!$D$6:$D$12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'8.1a Airline Demand'!$E$5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Geneva"/>
                        <a:ea typeface="Geneva"/>
                        <a:cs typeface="Geneva"/>
                      </a:rPr>
                      <a:t>y = 3287816x</a:t>
                    </a:r>
                    <a:r>
                      <a:rPr lang="en-US" cap="none" sz="1200" b="0" i="0" u="none" baseline="30000">
                        <a:latin typeface="Geneva"/>
                        <a:ea typeface="Geneva"/>
                        <a:cs typeface="Geneva"/>
                      </a:rPr>
                      <a:t>-1.62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'8.1a Airline Demand'!$B$6:$B$12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'8.1a Airline Demand'!$E$6:$E$12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9441948"/>
        <c:axId val="60689917"/>
      </c:scatterChart>
      <c:valAx>
        <c:axId val="39441948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Geneva"/>
                    <a:ea typeface="Geneva"/>
                    <a:cs typeface="Geneva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89917"/>
        <c:crosses val="autoZero"/>
        <c:crossBetween val="midCat"/>
        <c:dispUnits/>
      </c:valAx>
      <c:valAx>
        <c:axId val="60689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Geneva"/>
                    <a:ea typeface="Geneva"/>
                    <a:cs typeface="Geneva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41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3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4"/>
          <c:w val="0.6895"/>
          <c:h val="0.844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Exponential Smoothing'!$C$6:$C$35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Exponential Smoothing'!$D$6:$D$35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8819062"/>
        <c:axId val="65933095"/>
      </c:lineChart>
      <c:catAx>
        <c:axId val="58819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33095"/>
        <c:crosses val="autoZero"/>
        <c:auto val="1"/>
        <c:lblOffset val="100"/>
        <c:noMultiLvlLbl val="0"/>
      </c:catAx>
      <c:valAx>
        <c:axId val="6593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19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7075"/>
          <c:w val="0.1912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Exponential with Trend'!$C$6:$C$35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Exponential with Trend'!$F$6:$F$35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8386592"/>
        <c:axId val="42560289"/>
      </c:lineChart>
      <c:catAx>
        <c:axId val="4838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60289"/>
        <c:crosses val="autoZero"/>
        <c:auto val="1"/>
        <c:lblOffset val="100"/>
        <c:noMultiLvlLbl val="0"/>
      </c:catAx>
      <c:valAx>
        <c:axId val="4256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6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'10.1c Last Value'!$E$3:$E$5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Last Value'!$E$6:$E$35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'10.1c Last Value'!$F$3:$F$5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Last Value'!$F$6:$F$35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9893354"/>
        <c:axId val="42928699"/>
      </c:lineChart>
      <c:catAx>
        <c:axId val="1989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28699"/>
        <c:crosses val="autoZero"/>
        <c:auto val="1"/>
        <c:lblOffset val="100"/>
        <c:noMultiLvlLbl val="0"/>
      </c:catAx>
      <c:valAx>
        <c:axId val="4292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'10.1c Averaging'!$E$3:$E$5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Averaging'!$E$6:$E$35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'10.1c Averaging'!$F$3:$F$5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Averaging'!$F$6:$F$35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6787284"/>
        <c:axId val="60028533"/>
      </c:lineChart>
      <c:catAx>
        <c:axId val="4678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8533"/>
        <c:crosses val="autoZero"/>
        <c:auto val="1"/>
        <c:lblOffset val="100"/>
        <c:noMultiLvlLbl val="0"/>
      </c:catAx>
      <c:valAx>
        <c:axId val="60028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8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'10.1c Moving Average'!$E$3:$E$5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Moving Average'!$E$6:$E$35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'10.1c Moving Average'!$F$3:$F$5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Moving Average'!$F$6:$F$35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280.69285868402517</c:v>
                </c:pt>
                <c:pt idx="5">
                  <c:v>283.82497713505023</c:v>
                </c:pt>
                <c:pt idx="6">
                  <c:v>285.855846347073</c:v>
                </c:pt>
                <c:pt idx="7">
                  <c:v>288.06995018854315</c:v>
                </c:pt>
                <c:pt idx="8">
                  <c:v>289.48821747114306</c:v>
                </c:pt>
                <c:pt idx="9">
                  <c:v>294.3287641681818</c:v>
                </c:pt>
                <c:pt idx="10">
                  <c:v>293.3133295621704</c:v>
                </c:pt>
                <c:pt idx="11">
                  <c:v>295.8041963838243</c:v>
                </c:pt>
                <c:pt idx="12">
                  <c:v>301.0720462906239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20006750"/>
        <c:axId val="51206607"/>
      </c:lineChart>
      <c:catAx>
        <c:axId val="2000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06607"/>
        <c:crosses val="autoZero"/>
        <c:auto val="1"/>
        <c:lblOffset val="100"/>
        <c:noMultiLvlLbl val="0"/>
      </c:catAx>
      <c:valAx>
        <c:axId val="51206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06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'10.1c Expon Smoothing'!$E$3:$E$5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Expon Smoothing'!$E$6:$E$35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'10.1c Expon Smoothing'!$F$3:$F$5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Expon Smoothing'!$F$6:$F$35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7094792"/>
        <c:axId val="15367753"/>
      </c:lineChart>
      <c:catAx>
        <c:axId val="47094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67753"/>
        <c:crosses val="autoZero"/>
        <c:auto val="1"/>
        <c:lblOffset val="100"/>
        <c:noMultiLvlLbl val="0"/>
      </c:catAx>
      <c:valAx>
        <c:axId val="15367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94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'10.1c Exponential Trend'!$E$3:$E$5</c:f>
              <c:strCache>
                <c:ptCount val="1"/>
                <c:pt idx="0">
                  <c:v>Seasonally Adjusted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Exponential Trend'!$E$6:$E$35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'10.1c Exponential Trend'!$H$3:$H$5</c:f>
              <c:strCache>
                <c:ptCount val="1"/>
                <c:pt idx="0">
                  <c:v>Seasonally Adjusted Forecast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'10.1c Exponential Trend'!$H$6:$H$35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8104146"/>
        <c:axId val="21941731"/>
      </c:lineChart>
      <c:catAx>
        <c:axId val="48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1731"/>
        <c:crosses val="autoZero"/>
        <c:auto val="1"/>
        <c:lblOffset val="100"/>
        <c:noMultiLvlLbl val="0"/>
      </c:catAx>
      <c:valAx>
        <c:axId val="21941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0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'11.1a'!$G$13:$G$38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'11.1a'!$H$13:$H$38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178918"/>
        <c:axId val="18952151"/>
      </c:barChart>
      <c:catAx>
        <c:axId val="117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2151"/>
        <c:crosses val="autoZero"/>
        <c:auto val="1"/>
        <c:lblOffset val="100"/>
        <c:tickLblSkip val="1"/>
        <c:noMultiLvlLbl val="0"/>
      </c:catAx>
      <c:valAx>
        <c:axId val="1895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8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'11.1b'!$G$13:$G$38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'11.1b'!$H$13:$H$38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1329744"/>
        <c:axId val="64281297"/>
      </c:barChart>
      <c:catAx>
        <c:axId val="4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1297"/>
        <c:crosses val="autoZero"/>
        <c:auto val="1"/>
        <c:lblOffset val="100"/>
        <c:tickLblSkip val="1"/>
        <c:noMultiLvlLbl val="0"/>
      </c:catAx>
      <c:valAx>
        <c:axId val="64281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2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55"/>
          <c:w val="0.92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'11.1c'!$F$13:$F$38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'11.1c'!$G$13:$G$38</c:f>
              <c:numCache>
                <c:ptCount val="26"/>
                <c:pt idx="0">
                  <c:v>0.21052631578947367</c:v>
                </c:pt>
                <c:pt idx="1">
                  <c:v>0.3157894736842105</c:v>
                </c:pt>
                <c:pt idx="2">
                  <c:v>0.23684210526315788</c:v>
                </c:pt>
                <c:pt idx="3">
                  <c:v>0.11842105263157894</c:v>
                </c:pt>
                <c:pt idx="4">
                  <c:v>0.05921052631578946</c:v>
                </c:pt>
                <c:pt idx="5">
                  <c:v>0.029605263157894735</c:v>
                </c:pt>
                <c:pt idx="6">
                  <c:v>0.014802631578947368</c:v>
                </c:pt>
                <c:pt idx="7">
                  <c:v>0.007401315789473684</c:v>
                </c:pt>
                <c:pt idx="8">
                  <c:v>0.0037006578947368423</c:v>
                </c:pt>
                <c:pt idx="9">
                  <c:v>0.0018503289473684207</c:v>
                </c:pt>
                <c:pt idx="10">
                  <c:v>0.0009251644736842106</c:v>
                </c:pt>
                <c:pt idx="11">
                  <c:v>0.00046258223684210524</c:v>
                </c:pt>
                <c:pt idx="12">
                  <c:v>0.00023129111842105262</c:v>
                </c:pt>
                <c:pt idx="13">
                  <c:v>0.0001156455592105263</c:v>
                </c:pt>
                <c:pt idx="14">
                  <c:v>5.7822779605263155E-05</c:v>
                </c:pt>
                <c:pt idx="15">
                  <c:v>2.8911389802631577E-05</c:v>
                </c:pt>
                <c:pt idx="16">
                  <c:v>1.4455694901315787E-05</c:v>
                </c:pt>
                <c:pt idx="17">
                  <c:v>7.227847450657894E-06</c:v>
                </c:pt>
                <c:pt idx="18">
                  <c:v>3.6139237253289476E-06</c:v>
                </c:pt>
                <c:pt idx="19">
                  <c:v>1.8069618626644736E-06</c:v>
                </c:pt>
                <c:pt idx="20">
                  <c:v>9.034809313322368E-07</c:v>
                </c:pt>
                <c:pt idx="21">
                  <c:v>4.517404656661184E-07</c:v>
                </c:pt>
                <c:pt idx="22">
                  <c:v>2.258702328330592E-07</c:v>
                </c:pt>
                <c:pt idx="23">
                  <c:v>1.129351164165296E-07</c:v>
                </c:pt>
                <c:pt idx="24">
                  <c:v>5.64675582082648E-08</c:v>
                </c:pt>
                <c:pt idx="25">
                  <c:v>2.82337791041324E-08</c:v>
                </c:pt>
              </c:numCache>
            </c:numRef>
          </c:val>
        </c:ser>
        <c:axId val="62023066"/>
        <c:axId val="31389931"/>
      </c:barChart>
      <c:catAx>
        <c:axId val="6202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89931"/>
        <c:crosses val="autoZero"/>
        <c:auto val="1"/>
        <c:lblOffset val="100"/>
        <c:tickLblSkip val="1"/>
        <c:noMultiLvlLbl val="0"/>
      </c:catAx>
      <c:valAx>
        <c:axId val="3138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3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'11.1d'!$G$13:$G$38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'11.1d'!$H$13:$H$38</c:f>
              <c:numCache>
                <c:ptCount val="26"/>
                <c:pt idx="0">
                  <c:v>0.25</c:v>
                </c:pt>
                <c:pt idx="1">
                  <c:v>0.1875</c:v>
                </c:pt>
                <c:pt idx="2">
                  <c:v>0.140625</c:v>
                </c:pt>
                <c:pt idx="3">
                  <c:v>0.10546875</c:v>
                </c:pt>
                <c:pt idx="4">
                  <c:v>0.0791015625</c:v>
                </c:pt>
                <c:pt idx="5">
                  <c:v>0.059326171875</c:v>
                </c:pt>
                <c:pt idx="6">
                  <c:v>0.04449462890625</c:v>
                </c:pt>
                <c:pt idx="7">
                  <c:v>0.0333709716796875</c:v>
                </c:pt>
                <c:pt idx="8">
                  <c:v>0.025028228759765625</c:v>
                </c:pt>
                <c:pt idx="9">
                  <c:v>0.01877117156982422</c:v>
                </c:pt>
                <c:pt idx="10">
                  <c:v>0.014078378677368164</c:v>
                </c:pt>
                <c:pt idx="11">
                  <c:v>0.010558784008026123</c:v>
                </c:pt>
                <c:pt idx="12">
                  <c:v>0.007919088006019592</c:v>
                </c:pt>
                <c:pt idx="13">
                  <c:v>0.005939316004514694</c:v>
                </c:pt>
                <c:pt idx="14">
                  <c:v>0.004454487003386021</c:v>
                </c:pt>
                <c:pt idx="15">
                  <c:v>0.0033408652525395155</c:v>
                </c:pt>
                <c:pt idx="16">
                  <c:v>0.0025056489394046366</c:v>
                </c:pt>
                <c:pt idx="17">
                  <c:v>0.0018792367045534775</c:v>
                </c:pt>
                <c:pt idx="18">
                  <c:v>0.001409427528415108</c:v>
                </c:pt>
                <c:pt idx="19">
                  <c:v>0.001057070646311331</c:v>
                </c:pt>
                <c:pt idx="20">
                  <c:v>0.0007928029847334983</c:v>
                </c:pt>
                <c:pt idx="21">
                  <c:v>0.0005946022385501237</c:v>
                </c:pt>
                <c:pt idx="22">
                  <c:v>0.0004459516789125928</c:v>
                </c:pt>
                <c:pt idx="23">
                  <c:v>0.0003344637591844446</c:v>
                </c:pt>
                <c:pt idx="24">
                  <c:v>0.00025084781938833345</c:v>
                </c:pt>
                <c:pt idx="25">
                  <c:v>0.00018813586454125009</c:v>
                </c:pt>
              </c:numCache>
            </c:numRef>
          </c:val>
        </c:ser>
        <c:axId val="9763588"/>
        <c:axId val="41653285"/>
      </c:barChart>
      <c:catAx>
        <c:axId val="9763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3285"/>
        <c:crosses val="autoZero"/>
        <c:auto val="1"/>
        <c:lblOffset val="100"/>
        <c:tickLblSkip val="1"/>
        <c:noMultiLvlLbl val="0"/>
      </c:catAx>
      <c:valAx>
        <c:axId val="4165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3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55"/>
          <c:w val="0.919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'11.1e'!$G$13:$G$38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'11.1e'!$H$13:$H$38</c:f>
              <c:numCache>
                <c:ptCount val="26"/>
                <c:pt idx="0">
                  <c:v>0.37499999999999994</c:v>
                </c:pt>
                <c:pt idx="1">
                  <c:v>0.234375</c:v>
                </c:pt>
                <c:pt idx="2">
                  <c:v>0.146484375</c:v>
                </c:pt>
                <c:pt idx="3">
                  <c:v>0.091552734375</c:v>
                </c:pt>
                <c:pt idx="4">
                  <c:v>0.057220458984375</c:v>
                </c:pt>
                <c:pt idx="5">
                  <c:v>0.035762786865234375</c:v>
                </c:pt>
                <c:pt idx="6">
                  <c:v>0.022351741790771484</c:v>
                </c:pt>
                <c:pt idx="7">
                  <c:v>0.013969838619232178</c:v>
                </c:pt>
                <c:pt idx="8">
                  <c:v>0.008731149137020111</c:v>
                </c:pt>
                <c:pt idx="9">
                  <c:v>0.005456968210637569</c:v>
                </c:pt>
                <c:pt idx="10">
                  <c:v>0.003410605131648481</c:v>
                </c:pt>
                <c:pt idx="11">
                  <c:v>0.0021316282072803006</c:v>
                </c:pt>
                <c:pt idx="12">
                  <c:v>0.0013322676295501878</c:v>
                </c:pt>
                <c:pt idx="13">
                  <c:v>0.0008326672684688674</c:v>
                </c:pt>
                <c:pt idx="14">
                  <c:v>0.0005204170427930421</c:v>
                </c:pt>
                <c:pt idx="15">
                  <c:v>0.00032526065174565133</c:v>
                </c:pt>
                <c:pt idx="16">
                  <c:v>0.00020328790734103208</c:v>
                </c:pt>
                <c:pt idx="17">
                  <c:v>0.00012705494208814505</c:v>
                </c:pt>
                <c:pt idx="18">
                  <c:v>7.940933880509066E-05</c:v>
                </c:pt>
                <c:pt idx="19">
                  <c:v>4.963083675318166E-05</c:v>
                </c:pt>
                <c:pt idx="20">
                  <c:v>3.101927297073854E-05</c:v>
                </c:pt>
                <c:pt idx="21">
                  <c:v>1.9387045606711586E-05</c:v>
                </c:pt>
                <c:pt idx="22">
                  <c:v>1.2116903504194741E-05</c:v>
                </c:pt>
                <c:pt idx="23">
                  <c:v>7.573064690121713E-06</c:v>
                </c:pt>
                <c:pt idx="24">
                  <c:v>4.733165431326071E-06</c:v>
                </c:pt>
                <c:pt idx="25">
                  <c:v>2.9582283945787948E-06</c:v>
                </c:pt>
              </c:numCache>
            </c:numRef>
          </c:val>
        </c:ser>
        <c:axId val="20790926"/>
        <c:axId val="41342591"/>
      </c:barChart>
      <c:catAx>
        <c:axId val="2079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42591"/>
        <c:crosses val="autoZero"/>
        <c:auto val="1"/>
        <c:lblOffset val="100"/>
        <c:tickLblSkip val="1"/>
        <c:noMultiLvlLbl val="0"/>
      </c:catAx>
      <c:valAx>
        <c:axId val="41342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90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3575"/>
          <c:w val="0.682"/>
          <c:h val="0.866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Last Value'!$C$5:$C$34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Last Value'!$D$5:$D$34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5219128"/>
        <c:axId val="63375865"/>
      </c:lineChart>
      <c:catAx>
        <c:axId val="6521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75865"/>
        <c:crosses val="autoZero"/>
        <c:auto val="1"/>
        <c:lblOffset val="100"/>
        <c:noMultiLvlLbl val="0"/>
      </c:catAx>
      <c:valAx>
        <c:axId val="633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1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3875"/>
          <c:w val="0.20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5"/>
          <c:w val="0.67575"/>
          <c:h val="0.84625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Averaging'!$C$5:$C$34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Averaging'!$D$5:$D$34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035394"/>
        <c:axId val="38181011"/>
      </c:lineChart>
      <c:catAx>
        <c:axId val="63035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81011"/>
        <c:crosses val="autoZero"/>
        <c:auto val="1"/>
        <c:lblOffset val="100"/>
        <c:noMultiLvlLbl val="0"/>
      </c:catAx>
      <c:valAx>
        <c:axId val="38181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35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7075"/>
          <c:w val="0.20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575"/>
          <c:w val="0.6785"/>
          <c:h val="0.84375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Moving Average'!$C$6:$C$35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'10.1a Moving Average'!$D$6:$D$35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280.75</c:v>
                </c:pt>
                <c:pt idx="5">
                  <c:v>283.5</c:v>
                </c:pt>
                <c:pt idx="6">
                  <c:v>285.5</c:v>
                </c:pt>
                <c:pt idx="7">
                  <c:v>287.5</c:v>
                </c:pt>
                <c:pt idx="8">
                  <c:v>289.25</c:v>
                </c:pt>
                <c:pt idx="9">
                  <c:v>293.5</c:v>
                </c:pt>
                <c:pt idx="10">
                  <c:v>292.5</c:v>
                </c:pt>
                <c:pt idx="11">
                  <c:v>294.75</c:v>
                </c:pt>
                <c:pt idx="12">
                  <c:v>301.25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35750380"/>
        <c:axId val="59640909"/>
      </c:lineChart>
      <c:catAx>
        <c:axId val="3575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0909"/>
        <c:crosses val="autoZero"/>
        <c:auto val="1"/>
        <c:lblOffset val="100"/>
        <c:noMultiLvlLbl val="0"/>
      </c:catAx>
      <c:valAx>
        <c:axId val="59640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0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37425"/>
          <c:w val="0.2012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28575</xdr:rowOff>
    </xdr:from>
    <xdr:to>
      <xdr:col>10</xdr:col>
      <xdr:colOff>704850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247650" y="2324100"/>
        <a:ext cx="8620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</xdr:row>
      <xdr:rowOff>57150</xdr:rowOff>
    </xdr:from>
    <xdr:to>
      <xdr:col>13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095750" y="1800225"/>
        <a:ext cx="6686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</xdr:row>
      <xdr:rowOff>57150</xdr:rowOff>
    </xdr:from>
    <xdr:to>
      <xdr:col>13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095750" y="1800225"/>
        <a:ext cx="6686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13</xdr:col>
      <xdr:colOff>533400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4010025" y="2809875"/>
        <a:ext cx="6810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13</xdr:col>
      <xdr:colOff>533400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4067175" y="2800350"/>
        <a:ext cx="71532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18</xdr:row>
      <xdr:rowOff>57150</xdr:rowOff>
    </xdr:from>
    <xdr:to>
      <xdr:col>15</xdr:col>
      <xdr:colOff>304800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24525" y="3171825"/>
        <a:ext cx="6924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13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553450" y="2247900"/>
        <a:ext cx="5924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13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553450" y="2247900"/>
        <a:ext cx="5924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</xdr:row>
      <xdr:rowOff>66675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553450" y="2438400"/>
        <a:ext cx="5991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15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705850" y="2571750"/>
        <a:ext cx="5991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3219450" y="6477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76200</xdr:rowOff>
    </xdr:from>
    <xdr:to>
      <xdr:col>5</xdr:col>
      <xdr:colOff>0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33500" y="7239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76200</xdr:rowOff>
    </xdr:from>
    <xdr:to>
      <xdr:col>3</xdr:col>
      <xdr:colOff>0</xdr:colOff>
      <xdr:row>9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095375" y="723900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3219450" y="22669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33500" y="23431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0</xdr:colOff>
      <xdr:row>14</xdr:row>
      <xdr:rowOff>76200</xdr:rowOff>
    </xdr:to>
    <xdr:sp>
      <xdr:nvSpPr>
        <xdr:cNvPr id="6" name="Line 6"/>
        <xdr:cNvSpPr>
          <a:spLocks/>
        </xdr:cNvSpPr>
      </xdr:nvSpPr>
      <xdr:spPr>
        <a:xfrm>
          <a:off x="1095375" y="1533525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7" name="Line 7"/>
        <xdr:cNvSpPr>
          <a:spLocks/>
        </xdr:cNvSpPr>
      </xdr:nvSpPr>
      <xdr:spPr>
        <a:xfrm>
          <a:off x="5495925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8" name="Line 8"/>
        <xdr:cNvSpPr>
          <a:spLocks/>
        </xdr:cNvSpPr>
      </xdr:nvSpPr>
      <xdr:spPr>
        <a:xfrm>
          <a:off x="3609975" y="4000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4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3371850" y="40005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5495925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76200</xdr:rowOff>
    </xdr:from>
    <xdr:to>
      <xdr:col>9</xdr:col>
      <xdr:colOff>0</xdr:colOff>
      <xdr:row>7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609975" y="12096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7</xdr:col>
      <xdr:colOff>0</xdr:colOff>
      <xdr:row>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371850" y="72390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5495925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609975" y="20193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7</xdr:col>
      <xdr:colOff>0</xdr:colOff>
      <xdr:row>14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3371850" y="20193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5495925" y="27527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609975" y="28289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7</xdr:col>
      <xdr:colOff>0</xdr:colOff>
      <xdr:row>17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371850" y="23431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152400" cy="152400"/>
    <xdr:sp>
      <xdr:nvSpPr>
        <xdr:cNvPr id="19" name="Rectangle 19"/>
        <xdr:cNvSpPr>
          <a:spLocks/>
        </xdr:cNvSpPr>
      </xdr:nvSpPr>
      <xdr:spPr>
        <a:xfrm>
          <a:off x="942975" y="14573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9</xdr:row>
      <xdr:rowOff>76200</xdr:rowOff>
    </xdr:from>
    <xdr:to>
      <xdr:col>1</xdr:col>
      <xdr:colOff>0</xdr:colOff>
      <xdr:row>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0" y="153352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17</xdr:row>
      <xdr:rowOff>28575</xdr:rowOff>
    </xdr:from>
    <xdr:to>
      <xdr:col>20</xdr:col>
      <xdr:colOff>676275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9867900" y="2886075"/>
        <a:ext cx="6772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52400" cy="152400"/>
    <xdr:sp>
      <xdr:nvSpPr>
        <xdr:cNvPr id="1" name="Rectangle 1"/>
        <xdr:cNvSpPr>
          <a:spLocks/>
        </xdr:cNvSpPr>
      </xdr:nvSpPr>
      <xdr:spPr>
        <a:xfrm>
          <a:off x="3219450" y="14573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9</xdr:row>
      <xdr:rowOff>76200</xdr:rowOff>
    </xdr:from>
    <xdr:to>
      <xdr:col>5</xdr:col>
      <xdr:colOff>0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33500" y="15335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0</xdr:colOff>
      <xdr:row>19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095375" y="1533525"/>
          <a:ext cx="238125" cy="1619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29</xdr:row>
      <xdr:rowOff>0</xdr:rowOff>
    </xdr:from>
    <xdr:ext cx="152400" cy="152400"/>
    <xdr:sp>
      <xdr:nvSpPr>
        <xdr:cNvPr id="4" name="Rectangle 4"/>
        <xdr:cNvSpPr>
          <a:spLocks/>
        </xdr:cNvSpPr>
      </xdr:nvSpPr>
      <xdr:spPr>
        <a:xfrm>
          <a:off x="3219450" y="46958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29</xdr:row>
      <xdr:rowOff>76200</xdr:rowOff>
    </xdr:from>
    <xdr:to>
      <xdr:col>5</xdr:col>
      <xdr:colOff>0</xdr:colOff>
      <xdr:row>29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33500" y="47720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0</xdr:colOff>
      <xdr:row>29</xdr:row>
      <xdr:rowOff>76200</xdr:rowOff>
    </xdr:to>
    <xdr:sp>
      <xdr:nvSpPr>
        <xdr:cNvPr id="6" name="Line 6"/>
        <xdr:cNvSpPr>
          <a:spLocks/>
        </xdr:cNvSpPr>
      </xdr:nvSpPr>
      <xdr:spPr>
        <a:xfrm>
          <a:off x="1095375" y="3152775"/>
          <a:ext cx="238125" cy="1619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4</xdr:row>
      <xdr:rowOff>0</xdr:rowOff>
    </xdr:from>
    <xdr:ext cx="152400" cy="152400"/>
    <xdr:sp>
      <xdr:nvSpPr>
        <xdr:cNvPr id="7" name="Oval 7"/>
        <xdr:cNvSpPr>
          <a:spLocks/>
        </xdr:cNvSpPr>
      </xdr:nvSpPr>
      <xdr:spPr>
        <a:xfrm>
          <a:off x="5495925" y="6477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4</xdr:row>
      <xdr:rowOff>76200</xdr:rowOff>
    </xdr:from>
    <xdr:to>
      <xdr:col>9</xdr:col>
      <xdr:colOff>0</xdr:colOff>
      <xdr:row>4</xdr:row>
      <xdr:rowOff>76200</xdr:rowOff>
    </xdr:to>
    <xdr:sp>
      <xdr:nvSpPr>
        <xdr:cNvPr id="8" name="Line 8"/>
        <xdr:cNvSpPr>
          <a:spLocks/>
        </xdr:cNvSpPr>
      </xdr:nvSpPr>
      <xdr:spPr>
        <a:xfrm>
          <a:off x="3609975" y="7239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7</xdr:col>
      <xdr:colOff>0</xdr:colOff>
      <xdr:row>9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3371850" y="723900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14</xdr:row>
      <xdr:rowOff>0</xdr:rowOff>
    </xdr:from>
    <xdr:ext cx="152400" cy="152400"/>
    <xdr:sp>
      <xdr:nvSpPr>
        <xdr:cNvPr id="10" name="Oval 10"/>
        <xdr:cNvSpPr>
          <a:spLocks/>
        </xdr:cNvSpPr>
      </xdr:nvSpPr>
      <xdr:spPr>
        <a:xfrm>
          <a:off x="5495925" y="22669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14</xdr:row>
      <xdr:rowOff>76200</xdr:rowOff>
    </xdr:from>
    <xdr:to>
      <xdr:col>9</xdr:col>
      <xdr:colOff>0</xdr:colOff>
      <xdr:row>14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609975" y="23431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7</xdr:col>
      <xdr:colOff>0</xdr:colOff>
      <xdr:row>14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371850" y="1533525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7772400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5886450" y="4000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76200</xdr:rowOff>
    </xdr:from>
    <xdr:to>
      <xdr:col>11</xdr:col>
      <xdr:colOff>0</xdr:colOff>
      <xdr:row>4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5648325" y="40005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7772400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5886450" y="12096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76200</xdr:rowOff>
    </xdr:from>
    <xdr:to>
      <xdr:col>11</xdr:col>
      <xdr:colOff>0</xdr:colOff>
      <xdr:row>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5648325" y="72390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52400"/>
    <xdr:sp>
      <xdr:nvSpPr>
        <xdr:cNvPr id="19" name="Line 19"/>
        <xdr:cNvSpPr>
          <a:spLocks/>
        </xdr:cNvSpPr>
      </xdr:nvSpPr>
      <xdr:spPr>
        <a:xfrm>
          <a:off x="7772400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5886450" y="20193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11</xdr:col>
      <xdr:colOff>0</xdr:colOff>
      <xdr:row>14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5648325" y="20193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17</xdr:row>
      <xdr:rowOff>0</xdr:rowOff>
    </xdr:from>
    <xdr:ext cx="0" cy="152400"/>
    <xdr:sp>
      <xdr:nvSpPr>
        <xdr:cNvPr id="22" name="Line 22"/>
        <xdr:cNvSpPr>
          <a:spLocks/>
        </xdr:cNvSpPr>
      </xdr:nvSpPr>
      <xdr:spPr>
        <a:xfrm>
          <a:off x="7772400" y="27527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17</xdr:row>
      <xdr:rowOff>76200</xdr:rowOff>
    </xdr:from>
    <xdr:to>
      <xdr:col>13</xdr:col>
      <xdr:colOff>0</xdr:colOff>
      <xdr:row>17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5886450" y="28289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11</xdr:col>
      <xdr:colOff>0</xdr:colOff>
      <xdr:row>17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5648325" y="23431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152400" cy="152400"/>
    <xdr:sp>
      <xdr:nvSpPr>
        <xdr:cNvPr id="25" name="Oval 25"/>
        <xdr:cNvSpPr>
          <a:spLocks/>
        </xdr:cNvSpPr>
      </xdr:nvSpPr>
      <xdr:spPr>
        <a:xfrm>
          <a:off x="5495925" y="38862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24</xdr:row>
      <xdr:rowOff>76200</xdr:rowOff>
    </xdr:from>
    <xdr:to>
      <xdr:col>9</xdr:col>
      <xdr:colOff>0</xdr:colOff>
      <xdr:row>24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3609975" y="39624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7</xdr:col>
      <xdr:colOff>0</xdr:colOff>
      <xdr:row>29</xdr:row>
      <xdr:rowOff>76200</xdr:rowOff>
    </xdr:to>
    <xdr:sp>
      <xdr:nvSpPr>
        <xdr:cNvPr id="27" name="Line 27"/>
        <xdr:cNvSpPr>
          <a:spLocks/>
        </xdr:cNvSpPr>
      </xdr:nvSpPr>
      <xdr:spPr>
        <a:xfrm flipV="1">
          <a:off x="3371850" y="3962400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52400" cy="152400"/>
    <xdr:sp>
      <xdr:nvSpPr>
        <xdr:cNvPr id="28" name="Oval 28"/>
        <xdr:cNvSpPr>
          <a:spLocks/>
        </xdr:cNvSpPr>
      </xdr:nvSpPr>
      <xdr:spPr>
        <a:xfrm>
          <a:off x="5495925" y="55054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34</xdr:row>
      <xdr:rowOff>76200</xdr:rowOff>
    </xdr:from>
    <xdr:to>
      <xdr:col>9</xdr:col>
      <xdr:colOff>0</xdr:colOff>
      <xdr:row>34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3609975" y="55816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7</xdr:col>
      <xdr:colOff>0</xdr:colOff>
      <xdr:row>34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3371850" y="4772025"/>
          <a:ext cx="2381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22</xdr:row>
      <xdr:rowOff>0</xdr:rowOff>
    </xdr:from>
    <xdr:ext cx="0" cy="152400"/>
    <xdr:sp>
      <xdr:nvSpPr>
        <xdr:cNvPr id="31" name="Line 31"/>
        <xdr:cNvSpPr>
          <a:spLocks/>
        </xdr:cNvSpPr>
      </xdr:nvSpPr>
      <xdr:spPr>
        <a:xfrm>
          <a:off x="7772400" y="35623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22</xdr:row>
      <xdr:rowOff>76200</xdr:rowOff>
    </xdr:from>
    <xdr:to>
      <xdr:col>13</xdr:col>
      <xdr:colOff>0</xdr:colOff>
      <xdr:row>22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5886450" y="36385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11</xdr:col>
      <xdr:colOff>0</xdr:colOff>
      <xdr:row>24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5648325" y="363855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0" cy="152400"/>
    <xdr:sp>
      <xdr:nvSpPr>
        <xdr:cNvPr id="34" name="Line 34"/>
        <xdr:cNvSpPr>
          <a:spLocks/>
        </xdr:cNvSpPr>
      </xdr:nvSpPr>
      <xdr:spPr>
        <a:xfrm>
          <a:off x="7772400" y="43719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27</xdr:row>
      <xdr:rowOff>76200</xdr:rowOff>
    </xdr:from>
    <xdr:to>
      <xdr:col>13</xdr:col>
      <xdr:colOff>0</xdr:colOff>
      <xdr:row>27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5886450" y="44481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76200</xdr:rowOff>
    </xdr:from>
    <xdr:to>
      <xdr:col>11</xdr:col>
      <xdr:colOff>0</xdr:colOff>
      <xdr:row>27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5648325" y="396240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0" cy="152400"/>
    <xdr:sp>
      <xdr:nvSpPr>
        <xdr:cNvPr id="37" name="Line 37"/>
        <xdr:cNvSpPr>
          <a:spLocks/>
        </xdr:cNvSpPr>
      </xdr:nvSpPr>
      <xdr:spPr>
        <a:xfrm>
          <a:off x="7772400" y="51816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32</xdr:row>
      <xdr:rowOff>76200</xdr:rowOff>
    </xdr:from>
    <xdr:to>
      <xdr:col>13</xdr:col>
      <xdr:colOff>0</xdr:colOff>
      <xdr:row>32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886450" y="52578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76200</xdr:rowOff>
    </xdr:from>
    <xdr:to>
      <xdr:col>11</xdr:col>
      <xdr:colOff>0</xdr:colOff>
      <xdr:row>34</xdr:row>
      <xdr:rowOff>76200</xdr:rowOff>
    </xdr:to>
    <xdr:sp>
      <xdr:nvSpPr>
        <xdr:cNvPr id="39" name="Line 39"/>
        <xdr:cNvSpPr>
          <a:spLocks/>
        </xdr:cNvSpPr>
      </xdr:nvSpPr>
      <xdr:spPr>
        <a:xfrm flipV="1">
          <a:off x="5648325" y="52578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37</xdr:row>
      <xdr:rowOff>0</xdr:rowOff>
    </xdr:from>
    <xdr:ext cx="0" cy="152400"/>
    <xdr:sp>
      <xdr:nvSpPr>
        <xdr:cNvPr id="40" name="Line 40"/>
        <xdr:cNvSpPr>
          <a:spLocks/>
        </xdr:cNvSpPr>
      </xdr:nvSpPr>
      <xdr:spPr>
        <a:xfrm>
          <a:off x="7772400" y="59912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37</xdr:row>
      <xdr:rowOff>76200</xdr:rowOff>
    </xdr:from>
    <xdr:to>
      <xdr:col>13</xdr:col>
      <xdr:colOff>0</xdr:colOff>
      <xdr:row>37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5886450" y="60674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76200</xdr:rowOff>
    </xdr:from>
    <xdr:to>
      <xdr:col>11</xdr:col>
      <xdr:colOff>0</xdr:colOff>
      <xdr:row>37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5648325" y="55816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52400" cy="152400"/>
    <xdr:sp>
      <xdr:nvSpPr>
        <xdr:cNvPr id="43" name="Oval 43"/>
        <xdr:cNvSpPr>
          <a:spLocks/>
        </xdr:cNvSpPr>
      </xdr:nvSpPr>
      <xdr:spPr>
        <a:xfrm>
          <a:off x="942975" y="307657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19</xdr:row>
      <xdr:rowOff>76200</xdr:rowOff>
    </xdr:from>
    <xdr:to>
      <xdr:col>1</xdr:col>
      <xdr:colOff>0</xdr:colOff>
      <xdr:row>19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0" y="315277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52400" cy="161925"/>
    <xdr:sp>
      <xdr:nvSpPr>
        <xdr:cNvPr id="1" name="Oval 1"/>
        <xdr:cNvSpPr>
          <a:spLocks/>
        </xdr:cNvSpPr>
      </xdr:nvSpPr>
      <xdr:spPr>
        <a:xfrm>
          <a:off x="3219450" y="809625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5</xdr:row>
      <xdr:rowOff>85725</xdr:rowOff>
    </xdr:from>
    <xdr:to>
      <xdr:col>5</xdr:col>
      <xdr:colOff>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333500" y="8953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095375" y="895350"/>
          <a:ext cx="23812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17</xdr:row>
      <xdr:rowOff>0</xdr:rowOff>
    </xdr:from>
    <xdr:ext cx="0" cy="161925"/>
    <xdr:sp>
      <xdr:nvSpPr>
        <xdr:cNvPr id="4" name="Line 4"/>
        <xdr:cNvSpPr>
          <a:spLocks/>
        </xdr:cNvSpPr>
      </xdr:nvSpPr>
      <xdr:spPr>
        <a:xfrm>
          <a:off x="3219450" y="27336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0</xdr:colOff>
      <xdr:row>17</xdr:row>
      <xdr:rowOff>85725</xdr:rowOff>
    </xdr:from>
    <xdr:to>
      <xdr:col>13</xdr:col>
      <xdr:colOff>0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3371850" y="2819400"/>
          <a:ext cx="4400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>
          <a:off x="1333500" y="28194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3</xdr:col>
      <xdr:colOff>0</xdr:colOff>
      <xdr:row>17</xdr:row>
      <xdr:rowOff>85725</xdr:rowOff>
    </xdr:to>
    <xdr:sp>
      <xdr:nvSpPr>
        <xdr:cNvPr id="7" name="Line 7"/>
        <xdr:cNvSpPr>
          <a:spLocks/>
        </xdr:cNvSpPr>
      </xdr:nvSpPr>
      <xdr:spPr>
        <a:xfrm>
          <a:off x="1095375" y="1866900"/>
          <a:ext cx="238125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61925"/>
    <xdr:sp>
      <xdr:nvSpPr>
        <xdr:cNvPr id="8" name="Line 8"/>
        <xdr:cNvSpPr>
          <a:spLocks/>
        </xdr:cNvSpPr>
      </xdr:nvSpPr>
      <xdr:spPr>
        <a:xfrm>
          <a:off x="5495925" y="3238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10</xdr:col>
      <xdr:colOff>0</xdr:colOff>
      <xdr:row>2</xdr:row>
      <xdr:rowOff>85725</xdr:rowOff>
    </xdr:from>
    <xdr:to>
      <xdr:col>13</xdr:col>
      <xdr:colOff>0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5648325" y="409575"/>
          <a:ext cx="21240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85725</xdr:rowOff>
    </xdr:from>
    <xdr:to>
      <xdr:col>9</xdr:col>
      <xdr:colOff>0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609975" y="4095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7</xdr:col>
      <xdr:colOff>0</xdr:colOff>
      <xdr:row>5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3371850" y="409575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9</xdr:row>
      <xdr:rowOff>0</xdr:rowOff>
    </xdr:from>
    <xdr:ext cx="152400" cy="161925"/>
    <xdr:sp>
      <xdr:nvSpPr>
        <xdr:cNvPr id="12" name="Oval 12"/>
        <xdr:cNvSpPr>
          <a:spLocks/>
        </xdr:cNvSpPr>
      </xdr:nvSpPr>
      <xdr:spPr>
        <a:xfrm>
          <a:off x="5495925" y="1457325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85725</xdr:rowOff>
    </xdr:from>
    <xdr:to>
      <xdr:col>9</xdr:col>
      <xdr:colOff>0</xdr:colOff>
      <xdr:row>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3609975" y="15430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7</xdr:col>
      <xdr:colOff>0</xdr:colOff>
      <xdr:row>9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3371850" y="895350"/>
          <a:ext cx="23812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61925"/>
    <xdr:sp>
      <xdr:nvSpPr>
        <xdr:cNvPr id="15" name="Line 15"/>
        <xdr:cNvSpPr>
          <a:spLocks/>
        </xdr:cNvSpPr>
      </xdr:nvSpPr>
      <xdr:spPr>
        <a:xfrm>
          <a:off x="7772400" y="11334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7</xdr:row>
      <xdr:rowOff>85725</xdr:rowOff>
    </xdr:from>
    <xdr:to>
      <xdr:col>13</xdr:col>
      <xdr:colOff>0</xdr:colOff>
      <xdr:row>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5886450" y="12192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0</xdr:colOff>
      <xdr:row>9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5648325" y="1219200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61925"/>
    <xdr:sp>
      <xdr:nvSpPr>
        <xdr:cNvPr id="18" name="Line 18"/>
        <xdr:cNvSpPr>
          <a:spLocks/>
        </xdr:cNvSpPr>
      </xdr:nvSpPr>
      <xdr:spPr>
        <a:xfrm>
          <a:off x="7772400" y="19431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85725</xdr:rowOff>
    </xdr:from>
    <xdr:to>
      <xdr:col>13</xdr:col>
      <xdr:colOff>0</xdr:colOff>
      <xdr:row>12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886450" y="20288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11</xdr:col>
      <xdr:colOff>0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5648325" y="15430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152400" cy="161925"/>
    <xdr:sp>
      <xdr:nvSpPr>
        <xdr:cNvPr id="21" name="Rectangle 21"/>
        <xdr:cNvSpPr>
          <a:spLocks/>
        </xdr:cNvSpPr>
      </xdr:nvSpPr>
      <xdr:spPr>
        <a:xfrm>
          <a:off x="942975" y="1781175"/>
          <a:ext cx="15240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0" y="186690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3219450" y="80962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5</xdr:row>
      <xdr:rowOff>76200</xdr:rowOff>
    </xdr:from>
    <xdr:to>
      <xdr:col>5</xdr:col>
      <xdr:colOff>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33500" y="8858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3</xdr:col>
      <xdr:colOff>0</xdr:colOff>
      <xdr:row>11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095375" y="885825"/>
          <a:ext cx="23812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17</xdr:row>
      <xdr:rowOff>0</xdr:rowOff>
    </xdr:from>
    <xdr:ext cx="0" cy="152400"/>
    <xdr:sp>
      <xdr:nvSpPr>
        <xdr:cNvPr id="4" name="Line 4"/>
        <xdr:cNvSpPr>
          <a:spLocks/>
        </xdr:cNvSpPr>
      </xdr:nvSpPr>
      <xdr:spPr>
        <a:xfrm>
          <a:off x="3219450" y="27432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0</xdr:colOff>
      <xdr:row>17</xdr:row>
      <xdr:rowOff>76200</xdr:rowOff>
    </xdr:from>
    <xdr:to>
      <xdr:col>13</xdr:col>
      <xdr:colOff>0</xdr:colOff>
      <xdr:row>17</xdr:row>
      <xdr:rowOff>76200</xdr:rowOff>
    </xdr:to>
    <xdr:sp>
      <xdr:nvSpPr>
        <xdr:cNvPr id="5" name="Line 5"/>
        <xdr:cNvSpPr>
          <a:spLocks/>
        </xdr:cNvSpPr>
      </xdr:nvSpPr>
      <xdr:spPr>
        <a:xfrm>
          <a:off x="3371850" y="2819400"/>
          <a:ext cx="4400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5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1333500" y="28194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0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1095375" y="1857375"/>
          <a:ext cx="238125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8" name="Line 8"/>
        <xdr:cNvSpPr>
          <a:spLocks/>
        </xdr:cNvSpPr>
      </xdr:nvSpPr>
      <xdr:spPr>
        <a:xfrm>
          <a:off x="5495925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10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9" name="Line 9"/>
        <xdr:cNvSpPr>
          <a:spLocks/>
        </xdr:cNvSpPr>
      </xdr:nvSpPr>
      <xdr:spPr>
        <a:xfrm>
          <a:off x="5648325" y="400050"/>
          <a:ext cx="21240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3609975" y="40005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5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3371850" y="400050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9</xdr:row>
      <xdr:rowOff>0</xdr:rowOff>
    </xdr:from>
    <xdr:ext cx="152400" cy="152400"/>
    <xdr:sp>
      <xdr:nvSpPr>
        <xdr:cNvPr id="12" name="Oval 12"/>
        <xdr:cNvSpPr>
          <a:spLocks/>
        </xdr:cNvSpPr>
      </xdr:nvSpPr>
      <xdr:spPr>
        <a:xfrm>
          <a:off x="5495925" y="145732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76200</xdr:rowOff>
    </xdr:from>
    <xdr:to>
      <xdr:col>9</xdr:col>
      <xdr:colOff>0</xdr:colOff>
      <xdr:row>9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3609975" y="15335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7</xdr:col>
      <xdr:colOff>0</xdr:colOff>
      <xdr:row>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371850" y="885825"/>
          <a:ext cx="23812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0" cy="152400"/>
    <xdr:sp>
      <xdr:nvSpPr>
        <xdr:cNvPr id="15" name="Line 15"/>
        <xdr:cNvSpPr>
          <a:spLocks/>
        </xdr:cNvSpPr>
      </xdr:nvSpPr>
      <xdr:spPr>
        <a:xfrm>
          <a:off x="7772400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5886450" y="120967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9</xdr:row>
      <xdr:rowOff>76200</xdr:rowOff>
    </xdr:to>
    <xdr:sp>
      <xdr:nvSpPr>
        <xdr:cNvPr id="17" name="Line 17"/>
        <xdr:cNvSpPr>
          <a:spLocks/>
        </xdr:cNvSpPr>
      </xdr:nvSpPr>
      <xdr:spPr>
        <a:xfrm flipV="1">
          <a:off x="5648325" y="1209675"/>
          <a:ext cx="238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52400"/>
    <xdr:sp>
      <xdr:nvSpPr>
        <xdr:cNvPr id="18" name="Line 18"/>
        <xdr:cNvSpPr>
          <a:spLocks/>
        </xdr:cNvSpPr>
      </xdr:nvSpPr>
      <xdr:spPr>
        <a:xfrm>
          <a:off x="7772400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5886450" y="20193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11</xdr:col>
      <xdr:colOff>0</xdr:colOff>
      <xdr:row>12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5648325" y="1533525"/>
          <a:ext cx="23812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152400" cy="152400"/>
    <xdr:sp>
      <xdr:nvSpPr>
        <xdr:cNvPr id="21" name="Rectangle 21"/>
        <xdr:cNvSpPr>
          <a:spLocks/>
        </xdr:cNvSpPr>
      </xdr:nvSpPr>
      <xdr:spPr>
        <a:xfrm>
          <a:off x="942975" y="178117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11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0" y="185737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38100</xdr:rowOff>
    </xdr:from>
    <xdr:to>
      <xdr:col>4</xdr:col>
      <xdr:colOff>2095500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47650" y="3914775"/>
        <a:ext cx="561975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2085975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38125" y="2390775"/>
        <a:ext cx="5619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hillier\Documents\Mark\Teaching\Class%20Notes\MS7/10.%20Nonlinear%20Programming\Nonlin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B%20Documents\Mark\Teaching\QM551\2003\Problem%20Sets\3.%20Integer%20&amp;%20Nonlinear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P Example"/>
      <sheetName val="NLP Solver Table"/>
      <sheetName val="Portfolio"/>
      <sheetName val="Portfolio Solver Table"/>
      <sheetName val="Portfolio Alternative"/>
      <sheetName val="Portfolio 2"/>
      <sheetName val="Portfolio 2 Solver Table"/>
      <sheetName val="Outdoor Furniture NLP"/>
      <sheetName val="Outdoor Separable"/>
      <sheetName val="Advertising NLP"/>
      <sheetName val="Advertising vs. Sales"/>
      <sheetName val="Approximation"/>
      <sheetName val="Advertising Separable"/>
      <sheetName val="Global Oil"/>
      <sheetName val="Global Oil LP"/>
      <sheetName val="Global Oil with Crashing"/>
      <sheetName val="Global Oil with Crashing 2"/>
      <sheetName val="Demand Functions"/>
      <sheetName val="Pricing Model"/>
      <sheetName val="Profit vs. Price "/>
      <sheetName val="Pricing Model (CE)"/>
      <sheetName val="Airline Demand"/>
      <sheetName val="Airline Pricing Model"/>
      <sheetName val="Airline Pricing (Uniform Price)"/>
    </sheetNames>
    <sheetDataSet>
      <sheetData sheetId="14">
        <row r="5">
          <cell r="G5">
            <v>0</v>
          </cell>
          <cell r="I5">
            <v>21</v>
          </cell>
        </row>
        <row r="6">
          <cell r="G6">
            <v>0</v>
          </cell>
          <cell r="I6">
            <v>25</v>
          </cell>
        </row>
        <row r="7">
          <cell r="G7">
            <v>25</v>
          </cell>
          <cell r="I7">
            <v>45</v>
          </cell>
        </row>
        <row r="8">
          <cell r="G8">
            <v>45</v>
          </cell>
          <cell r="I8">
            <v>73</v>
          </cell>
        </row>
        <row r="9">
          <cell r="G9">
            <v>73</v>
          </cell>
          <cell r="I9">
            <v>121</v>
          </cell>
        </row>
        <row r="10">
          <cell r="G10">
            <v>45</v>
          </cell>
          <cell r="I10">
            <v>57</v>
          </cell>
        </row>
        <row r="11">
          <cell r="G11">
            <v>57</v>
          </cell>
          <cell r="I11">
            <v>82</v>
          </cell>
        </row>
        <row r="12">
          <cell r="G12">
            <v>57</v>
          </cell>
          <cell r="I12">
            <v>85</v>
          </cell>
        </row>
        <row r="13">
          <cell r="G13">
            <v>121</v>
          </cell>
          <cell r="I13">
            <v>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1.125" style="1" bestFit="1" customWidth="1"/>
    <col min="3" max="3" width="10.25390625" style="1" bestFit="1" customWidth="1"/>
    <col min="4" max="4" width="10.00390625" style="1" bestFit="1" customWidth="1"/>
    <col min="5" max="5" width="10.00390625" style="1" customWidth="1"/>
    <col min="6" max="6" width="6.25390625" style="1" bestFit="1" customWidth="1"/>
    <col min="7" max="7" width="10.25390625" style="8" bestFit="1" customWidth="1"/>
    <col min="8" max="16384" width="10.875" style="1" customWidth="1"/>
  </cols>
  <sheetData>
    <row r="1" ht="15.75">
      <c r="A1" s="2" t="s">
        <v>21</v>
      </c>
    </row>
    <row r="3" spans="3:7" ht="12">
      <c r="C3" s="1" t="s">
        <v>22</v>
      </c>
      <c r="D3" s="1" t="s">
        <v>23</v>
      </c>
      <c r="E3" s="5"/>
      <c r="F3" s="5"/>
      <c r="G3" s="9"/>
    </row>
    <row r="4" spans="2:7" ht="12">
      <c r="B4" s="3" t="s">
        <v>267</v>
      </c>
      <c r="C4" s="10">
        <v>1</v>
      </c>
      <c r="D4" s="10">
        <v>1.5</v>
      </c>
      <c r="E4" s="11"/>
      <c r="F4" s="12"/>
      <c r="G4" s="13"/>
    </row>
    <row r="5" spans="3:7" ht="12">
      <c r="C5" s="12"/>
      <c r="D5" s="12"/>
      <c r="E5" s="12" t="s">
        <v>260</v>
      </c>
      <c r="F5" s="12"/>
      <c r="G5" s="13" t="s">
        <v>261</v>
      </c>
    </row>
    <row r="6" spans="2:7" ht="12">
      <c r="B6" s="14" t="s">
        <v>266</v>
      </c>
      <c r="C6" s="12"/>
      <c r="D6" s="12"/>
      <c r="E6" s="12" t="s">
        <v>261</v>
      </c>
      <c r="F6" s="12"/>
      <c r="G6" s="13" t="s">
        <v>264</v>
      </c>
    </row>
    <row r="7" spans="2:7" ht="12">
      <c r="B7" s="3" t="s">
        <v>270</v>
      </c>
      <c r="C7" s="15">
        <v>0.1</v>
      </c>
      <c r="D7" s="15">
        <v>0.2</v>
      </c>
      <c r="E7" s="16">
        <f>SUMPRODUCT(C7:D7,$C$13:$D$13)</f>
        <v>100</v>
      </c>
      <c r="F7" s="17" t="s">
        <v>268</v>
      </c>
      <c r="G7" s="18">
        <v>100</v>
      </c>
    </row>
    <row r="8" spans="2:7" ht="12">
      <c r="B8" s="3" t="s">
        <v>271</v>
      </c>
      <c r="C8" s="15">
        <v>0.15</v>
      </c>
      <c r="D8" s="15">
        <v>0.3</v>
      </c>
      <c r="E8" s="16">
        <f>SUMPRODUCT(C8:D8,$C$13:$D$13)</f>
        <v>150</v>
      </c>
      <c r="F8" s="17" t="s">
        <v>268</v>
      </c>
      <c r="G8" s="18">
        <v>150</v>
      </c>
    </row>
    <row r="9" spans="2:7" ht="12">
      <c r="B9" s="3" t="s">
        <v>272</v>
      </c>
      <c r="C9" s="15">
        <v>0.2</v>
      </c>
      <c r="D9" s="15">
        <v>0.2</v>
      </c>
      <c r="E9" s="16">
        <f>SUMPRODUCT(C9:D9,$C$13:$D$13)</f>
        <v>150.0000000000375</v>
      </c>
      <c r="F9" s="17" t="s">
        <v>268</v>
      </c>
      <c r="G9" s="18">
        <v>120</v>
      </c>
    </row>
    <row r="10" spans="2:7" ht="12">
      <c r="B10" s="3" t="s">
        <v>273</v>
      </c>
      <c r="C10" s="15">
        <v>0.35</v>
      </c>
      <c r="D10" s="15">
        <v>0.25</v>
      </c>
      <c r="E10" s="16">
        <f>SUMPRODUCT(C10:D10,$C$13:$D$13)</f>
        <v>237.50000000008436</v>
      </c>
      <c r="F10" s="17" t="s">
        <v>268</v>
      </c>
      <c r="G10" s="18">
        <v>200</v>
      </c>
    </row>
    <row r="11" spans="2:7" s="7" customFormat="1" ht="12">
      <c r="B11" s="6"/>
      <c r="C11" s="19"/>
      <c r="D11" s="19"/>
      <c r="E11" s="16"/>
      <c r="F11" s="17"/>
      <c r="G11" s="20"/>
    </row>
    <row r="12" spans="2:7" ht="12.75" thickBot="1">
      <c r="B12" s="3"/>
      <c r="E12" s="5"/>
      <c r="F12" s="5"/>
      <c r="G12" s="9" t="s">
        <v>265</v>
      </c>
    </row>
    <row r="13" spans="2:7" ht="12.75" thickBot="1">
      <c r="B13" s="3" t="s">
        <v>259</v>
      </c>
      <c r="C13" s="21">
        <v>500.00000000037494</v>
      </c>
      <c r="D13" s="22">
        <v>249.9999999998125</v>
      </c>
      <c r="E13" s="5"/>
      <c r="F13" s="5"/>
      <c r="G13" s="23">
        <f>SUMPRODUCT(C4:D4,C13:D13)</f>
        <v>875.0000000000937</v>
      </c>
    </row>
    <row r="14" spans="2:7" ht="12">
      <c r="B14" s="3"/>
      <c r="C14" s="4"/>
      <c r="E14" s="5"/>
      <c r="F14" s="5"/>
      <c r="G14" s="9"/>
    </row>
    <row r="15" spans="2:7" ht="12">
      <c r="B15" s="24" t="s">
        <v>263</v>
      </c>
      <c r="C15" s="9">
        <f>D13</f>
        <v>249.9999999998125</v>
      </c>
      <c r="D15" s="9" t="s">
        <v>269</v>
      </c>
      <c r="E15" s="9">
        <f>F15*(C13+D13)</f>
        <v>249.9999999998125</v>
      </c>
      <c r="F15" s="25">
        <v>0.333333333333</v>
      </c>
      <c r="G15" s="26" t="s">
        <v>262</v>
      </c>
    </row>
    <row r="16" spans="2:7" ht="12">
      <c r="B16" s="5"/>
      <c r="C16" s="5"/>
      <c r="D16" s="5"/>
      <c r="E16" s="11"/>
      <c r="F16" s="27"/>
      <c r="G16" s="9"/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1" sqref="A1"/>
    </sheetView>
  </sheetViews>
  <sheetFormatPr defaultColWidth="9.00390625" defaultRowHeight="12"/>
  <cols>
    <col min="1" max="1" width="2.875" style="104" customWidth="1"/>
    <col min="2" max="2" width="17.875" style="105" bestFit="1" customWidth="1"/>
    <col min="3" max="5" width="11.75390625" style="104" customWidth="1"/>
    <col min="6" max="6" width="9.00390625" style="104" customWidth="1"/>
    <col min="7" max="7" width="4.00390625" style="104" customWidth="1"/>
    <col min="8" max="8" width="12.125" style="104" customWidth="1"/>
    <col min="9" max="9" width="12.25390625" style="104" customWidth="1"/>
    <col min="10" max="16384" width="12.375" style="104" customWidth="1"/>
  </cols>
  <sheetData>
    <row r="1" ht="15.75">
      <c r="A1" s="117" t="s">
        <v>158</v>
      </c>
    </row>
    <row r="3" spans="3:5" ht="12">
      <c r="C3" s="104" t="s">
        <v>150</v>
      </c>
      <c r="D3" s="104" t="s">
        <v>151</v>
      </c>
      <c r="E3" s="104" t="s">
        <v>152</v>
      </c>
    </row>
    <row r="4" spans="2:5" ht="12">
      <c r="B4" s="105" t="s">
        <v>153</v>
      </c>
      <c r="C4" s="106">
        <v>360</v>
      </c>
      <c r="D4" s="106">
        <v>125</v>
      </c>
      <c r="E4" s="106">
        <v>300</v>
      </c>
    </row>
    <row r="6" spans="4:8" ht="12">
      <c r="D6" s="104" t="s">
        <v>154</v>
      </c>
      <c r="F6" s="104" t="s">
        <v>372</v>
      </c>
      <c r="H6" s="104" t="s">
        <v>229</v>
      </c>
    </row>
    <row r="7" spans="2:8" ht="12">
      <c r="B7" s="105" t="s">
        <v>155</v>
      </c>
      <c r="C7" s="107">
        <v>80</v>
      </c>
      <c r="D7" s="107">
        <v>40</v>
      </c>
      <c r="E7" s="107">
        <v>50</v>
      </c>
      <c r="F7" s="108">
        <f>SUMPRODUCT(C7:E7,$C$12:$E$12)</f>
        <v>8100</v>
      </c>
      <c r="G7" s="104" t="s">
        <v>269</v>
      </c>
      <c r="H7" s="109">
        <v>8100</v>
      </c>
    </row>
    <row r="8" spans="2:8" ht="12">
      <c r="B8" s="105" t="s">
        <v>156</v>
      </c>
      <c r="C8" s="107">
        <v>30</v>
      </c>
      <c r="D8" s="107">
        <v>20</v>
      </c>
      <c r="E8" s="107">
        <v>30</v>
      </c>
      <c r="F8" s="108">
        <f>SUMPRODUCT(C8:E8,$C$12:$E$12)</f>
        <v>4500</v>
      </c>
      <c r="G8" s="104" t="s">
        <v>269</v>
      </c>
      <c r="H8" s="109">
        <v>4500</v>
      </c>
    </row>
    <row r="9" spans="2:8" ht="12">
      <c r="B9" s="105" t="s">
        <v>157</v>
      </c>
      <c r="C9" s="107">
        <v>80</v>
      </c>
      <c r="D9" s="107">
        <v>10</v>
      </c>
      <c r="E9" s="107">
        <v>50</v>
      </c>
      <c r="F9" s="108">
        <f>SUMPRODUCT(C9:E9,$C$12:$E$12)</f>
        <v>8100</v>
      </c>
      <c r="G9" s="104" t="s">
        <v>269</v>
      </c>
      <c r="H9" s="109">
        <v>9000</v>
      </c>
    </row>
    <row r="11" spans="3:8" ht="12.75" thickBot="1">
      <c r="C11" s="104" t="s">
        <v>150</v>
      </c>
      <c r="D11" s="104" t="s">
        <v>151</v>
      </c>
      <c r="E11" s="104" t="s">
        <v>152</v>
      </c>
      <c r="H11" s="104" t="s">
        <v>365</v>
      </c>
    </row>
    <row r="12" spans="2:8" ht="12.75" thickBot="1">
      <c r="B12" s="105" t="s">
        <v>317</v>
      </c>
      <c r="C12" s="110">
        <v>20</v>
      </c>
      <c r="D12" s="111">
        <v>0</v>
      </c>
      <c r="E12" s="112">
        <v>130</v>
      </c>
      <c r="H12" s="113">
        <f>SUMPRODUCT(C4:E4,C12:E12)</f>
        <v>46200</v>
      </c>
    </row>
    <row r="13" spans="4:5" ht="12">
      <c r="D13" s="114"/>
      <c r="E13" s="114"/>
    </row>
    <row r="14" spans="4:5" ht="12">
      <c r="D14" s="115"/>
      <c r="E14" s="114"/>
    </row>
    <row r="17" spans="3:5" ht="12">
      <c r="C17" s="116"/>
      <c r="D17" s="116"/>
      <c r="E17" s="116"/>
    </row>
  </sheetData>
  <printOptions gridLines="1" headings="1"/>
  <pageMargins left="0.75" right="0.75" top="1" bottom="1" header="0.5" footer="0.5"/>
  <pageSetup fitToHeight="1" fitToWidth="1" orientation="portrait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00390625" defaultRowHeight="12"/>
  <cols>
    <col min="1" max="1" width="2.25390625" style="0" customWidth="1"/>
    <col min="2" max="2" width="6.125" style="0" bestFit="1" customWidth="1"/>
    <col min="3" max="3" width="19.875" style="0" bestFit="1" customWidth="1"/>
    <col min="4" max="4" width="5.875" style="0" bestFit="1" customWidth="1"/>
    <col min="5" max="5" width="10.75390625" style="0" customWidth="1"/>
    <col min="6" max="6" width="8.875" style="0" customWidth="1"/>
    <col min="7" max="7" width="10.25390625" style="0" customWidth="1"/>
    <col min="8" max="8" width="8.00390625" style="0" customWidth="1"/>
    <col min="9" max="16384" width="11.375" style="0" customWidth="1"/>
  </cols>
  <sheetData>
    <row r="1" ht="12">
      <c r="A1" s="118" t="s">
        <v>159</v>
      </c>
    </row>
    <row r="2" ht="12">
      <c r="A2" s="118" t="s">
        <v>160</v>
      </c>
    </row>
    <row r="3" ht="12">
      <c r="A3" s="118" t="s">
        <v>428</v>
      </c>
    </row>
    <row r="6" ht="12.75" thickBot="1">
      <c r="A6" t="s">
        <v>429</v>
      </c>
    </row>
    <row r="7" spans="2:8" ht="12">
      <c r="B7" s="121"/>
      <c r="C7" s="121"/>
      <c r="D7" s="121" t="s">
        <v>432</v>
      </c>
      <c r="E7" s="121" t="s">
        <v>434</v>
      </c>
      <c r="F7" s="121" t="s">
        <v>435</v>
      </c>
      <c r="G7" s="121" t="s">
        <v>437</v>
      </c>
      <c r="H7" s="121" t="s">
        <v>437</v>
      </c>
    </row>
    <row r="8" spans="2:8" ht="12.75" thickBot="1">
      <c r="B8" s="122" t="s">
        <v>430</v>
      </c>
      <c r="C8" s="122" t="s">
        <v>431</v>
      </c>
      <c r="D8" s="122" t="s">
        <v>433</v>
      </c>
      <c r="E8" s="122" t="s">
        <v>267</v>
      </c>
      <c r="F8" s="122" t="s">
        <v>436</v>
      </c>
      <c r="G8" s="122" t="s">
        <v>438</v>
      </c>
      <c r="H8" s="122" t="s">
        <v>439</v>
      </c>
    </row>
    <row r="9" spans="2:8" ht="12">
      <c r="B9" s="119" t="s">
        <v>445</v>
      </c>
      <c r="C9" s="119" t="s">
        <v>446</v>
      </c>
      <c r="D9" s="127">
        <v>20</v>
      </c>
      <c r="E9" s="127">
        <v>0</v>
      </c>
      <c r="F9" s="128">
        <v>360.0000000005821</v>
      </c>
      <c r="G9" s="128">
        <v>119.99999999875757</v>
      </c>
      <c r="H9" s="128">
        <v>60.00000000326855</v>
      </c>
    </row>
    <row r="10" spans="2:8" ht="12">
      <c r="B10" s="119" t="s">
        <v>447</v>
      </c>
      <c r="C10" s="119" t="s">
        <v>448</v>
      </c>
      <c r="D10" s="127">
        <v>0</v>
      </c>
      <c r="E10" s="134">
        <v>-88.33333333664774</v>
      </c>
      <c r="F10" s="128">
        <v>125</v>
      </c>
      <c r="G10" s="134">
        <v>88.33333333664774</v>
      </c>
      <c r="H10" s="128">
        <v>1E+30</v>
      </c>
    </row>
    <row r="11" spans="2:8" ht="12.75" thickBot="1">
      <c r="B11" s="120" t="s">
        <v>449</v>
      </c>
      <c r="C11" s="120" t="s">
        <v>450</v>
      </c>
      <c r="D11" s="129">
        <v>130</v>
      </c>
      <c r="E11" s="129">
        <v>0</v>
      </c>
      <c r="F11" s="130">
        <v>300.0000000001119</v>
      </c>
      <c r="G11" s="130">
        <v>60.00000000382823</v>
      </c>
      <c r="H11" s="130">
        <v>74.99999999935464</v>
      </c>
    </row>
    <row r="12" spans="4:8" ht="12">
      <c r="D12" s="131"/>
      <c r="E12" s="131"/>
      <c r="F12" s="131"/>
      <c r="G12" s="131"/>
      <c r="H12" s="131"/>
    </row>
    <row r="13" spans="1:8" ht="12.75" thickBot="1">
      <c r="A13" t="s">
        <v>440</v>
      </c>
      <c r="D13" s="131"/>
      <c r="E13" s="131"/>
      <c r="F13" s="131"/>
      <c r="G13" s="131"/>
      <c r="H13" s="131"/>
    </row>
    <row r="14" spans="2:8" ht="12">
      <c r="B14" s="121"/>
      <c r="C14" s="121"/>
      <c r="D14" s="121" t="s">
        <v>432</v>
      </c>
      <c r="E14" s="121" t="s">
        <v>441</v>
      </c>
      <c r="F14" s="121" t="s">
        <v>443</v>
      </c>
      <c r="G14" s="121" t="s">
        <v>437</v>
      </c>
      <c r="H14" s="121" t="s">
        <v>437</v>
      </c>
    </row>
    <row r="15" spans="2:8" ht="12.75" thickBot="1">
      <c r="B15" s="122" t="s">
        <v>430</v>
      </c>
      <c r="C15" s="122" t="s">
        <v>431</v>
      </c>
      <c r="D15" s="122" t="s">
        <v>433</v>
      </c>
      <c r="E15" s="122" t="s">
        <v>442</v>
      </c>
      <c r="F15" s="122" t="s">
        <v>444</v>
      </c>
      <c r="G15" s="122" t="s">
        <v>438</v>
      </c>
      <c r="H15" s="122" t="s">
        <v>439</v>
      </c>
    </row>
    <row r="16" spans="2:8" ht="12">
      <c r="B16" s="119" t="s">
        <v>451</v>
      </c>
      <c r="C16" s="119" t="s">
        <v>452</v>
      </c>
      <c r="D16" s="132">
        <v>8100</v>
      </c>
      <c r="E16" s="132">
        <v>2.0000000000855067</v>
      </c>
      <c r="F16" s="128">
        <v>8100</v>
      </c>
      <c r="G16" s="128">
        <v>900.0000000000007</v>
      </c>
      <c r="H16" s="128">
        <v>600.0000000070344</v>
      </c>
    </row>
    <row r="17" spans="2:8" ht="12">
      <c r="B17" s="119" t="s">
        <v>453</v>
      </c>
      <c r="C17" s="119" t="s">
        <v>179</v>
      </c>
      <c r="D17" s="132">
        <v>4500</v>
      </c>
      <c r="E17" s="137">
        <v>6.666666666519492</v>
      </c>
      <c r="F17" s="128">
        <v>4500</v>
      </c>
      <c r="G17" s="128">
        <v>360.0000000042206</v>
      </c>
      <c r="H17" s="128">
        <v>1462.5000000197015</v>
      </c>
    </row>
    <row r="18" spans="2:8" ht="12.75" thickBot="1">
      <c r="B18" s="120" t="s">
        <v>180</v>
      </c>
      <c r="C18" s="120" t="s">
        <v>181</v>
      </c>
      <c r="D18" s="133">
        <v>8100</v>
      </c>
      <c r="E18" s="133">
        <v>0</v>
      </c>
      <c r="F18" s="130">
        <v>9000</v>
      </c>
      <c r="G18" s="130">
        <v>1E+30</v>
      </c>
      <c r="H18" s="130">
        <v>900</v>
      </c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00390625" defaultRowHeight="12"/>
  <cols>
    <col min="1" max="1" width="2.875" style="104" customWidth="1"/>
    <col min="2" max="2" width="17.875" style="105" bestFit="1" customWidth="1"/>
    <col min="3" max="3" width="13.00390625" style="104" customWidth="1"/>
    <col min="4" max="5" width="11.75390625" style="104" customWidth="1"/>
    <col min="6" max="6" width="9.00390625" style="104" customWidth="1"/>
    <col min="7" max="7" width="9.25390625" style="104" customWidth="1"/>
    <col min="8" max="8" width="12.125" style="104" customWidth="1"/>
    <col min="9" max="9" width="12.25390625" style="104" customWidth="1"/>
    <col min="10" max="16384" width="12.375" style="104" customWidth="1"/>
  </cols>
  <sheetData>
    <row r="1" ht="15.75">
      <c r="A1" s="117" t="s">
        <v>158</v>
      </c>
    </row>
    <row r="2" ht="12">
      <c r="J2" s="104" t="s">
        <v>184</v>
      </c>
    </row>
    <row r="3" spans="3:10" ht="12">
      <c r="C3" s="104" t="s">
        <v>150</v>
      </c>
      <c r="D3" s="104" t="s">
        <v>151</v>
      </c>
      <c r="E3" s="104" t="s">
        <v>152</v>
      </c>
      <c r="J3" s="107">
        <v>480</v>
      </c>
    </row>
    <row r="4" spans="2:5" ht="12">
      <c r="B4" s="105" t="s">
        <v>153</v>
      </c>
      <c r="C4" s="106">
        <v>360</v>
      </c>
      <c r="D4" s="106">
        <v>125</v>
      </c>
      <c r="E4" s="106">
        <v>300</v>
      </c>
    </row>
    <row r="5" spans="8:10" ht="12">
      <c r="H5" s="104" t="s">
        <v>260</v>
      </c>
      <c r="I5" s="104" t="s">
        <v>182</v>
      </c>
      <c r="J5" s="104" t="s">
        <v>183</v>
      </c>
    </row>
    <row r="6" spans="4:10" ht="12">
      <c r="D6" s="104" t="s">
        <v>154</v>
      </c>
      <c r="F6" s="104" t="s">
        <v>372</v>
      </c>
      <c r="H6" s="104" t="s">
        <v>229</v>
      </c>
      <c r="I6" s="104" t="s">
        <v>229</v>
      </c>
      <c r="J6" s="104" t="s">
        <v>229</v>
      </c>
    </row>
    <row r="7" spans="2:10" ht="12">
      <c r="B7" s="105" t="s">
        <v>155</v>
      </c>
      <c r="C7" s="107">
        <v>80</v>
      </c>
      <c r="D7" s="107">
        <v>40</v>
      </c>
      <c r="E7" s="107">
        <v>50</v>
      </c>
      <c r="F7" s="108">
        <f>SUMPRODUCT(C7:E7,$C$12:$E$12)</f>
        <v>8175</v>
      </c>
      <c r="G7" s="104" t="s">
        <v>269</v>
      </c>
      <c r="H7" s="108">
        <f>I7+J7</f>
        <v>8175</v>
      </c>
      <c r="I7" s="109">
        <v>8100</v>
      </c>
      <c r="J7" s="107">
        <v>75</v>
      </c>
    </row>
    <row r="8" spans="2:10" ht="12">
      <c r="B8" s="105" t="s">
        <v>156</v>
      </c>
      <c r="C8" s="107">
        <v>30</v>
      </c>
      <c r="D8" s="107">
        <v>20</v>
      </c>
      <c r="E8" s="107">
        <v>30</v>
      </c>
      <c r="F8" s="108">
        <f>SUMPRODUCT(C8:E8,$C$12:$E$12)</f>
        <v>4905</v>
      </c>
      <c r="G8" s="104" t="s">
        <v>269</v>
      </c>
      <c r="H8" s="108">
        <f>I8+J8</f>
        <v>4905</v>
      </c>
      <c r="I8" s="109">
        <v>4500</v>
      </c>
      <c r="J8" s="104">
        <f>J3-J7</f>
        <v>405</v>
      </c>
    </row>
    <row r="9" spans="2:9" ht="12">
      <c r="B9" s="105" t="s">
        <v>157</v>
      </c>
      <c r="C9" s="107">
        <v>80</v>
      </c>
      <c r="D9" s="107">
        <v>10</v>
      </c>
      <c r="E9" s="107">
        <v>50</v>
      </c>
      <c r="F9" s="108">
        <f>SUMPRODUCT(C9:E9,$C$12:$E$12)</f>
        <v>8175</v>
      </c>
      <c r="G9" s="104" t="s">
        <v>269</v>
      </c>
      <c r="H9" s="108">
        <f>I9</f>
        <v>9000</v>
      </c>
      <c r="I9" s="109">
        <v>9000</v>
      </c>
    </row>
    <row r="11" spans="3:8" ht="12.75" thickBot="1">
      <c r="C11" s="104" t="s">
        <v>150</v>
      </c>
      <c r="D11" s="104" t="s">
        <v>151</v>
      </c>
      <c r="E11" s="104" t="s">
        <v>152</v>
      </c>
      <c r="H11" s="104" t="s">
        <v>365</v>
      </c>
    </row>
    <row r="12" spans="2:8" ht="12.75" thickBot="1">
      <c r="B12" s="105" t="s">
        <v>317</v>
      </c>
      <c r="C12" s="110">
        <v>0</v>
      </c>
      <c r="D12" s="111">
        <v>0</v>
      </c>
      <c r="E12" s="112">
        <v>163.5</v>
      </c>
      <c r="H12" s="113">
        <f>SUMPRODUCT(C4:E4,C12:E12)</f>
        <v>49050</v>
      </c>
    </row>
    <row r="13" spans="4:5" ht="12">
      <c r="D13" s="114"/>
      <c r="E13" s="114"/>
    </row>
    <row r="14" spans="4:5" ht="12">
      <c r="D14" s="115"/>
      <c r="E14" s="114"/>
    </row>
    <row r="16" spans="2:7" ht="12">
      <c r="B16" s="104" t="s">
        <v>185</v>
      </c>
      <c r="C16" s="104" t="s">
        <v>186</v>
      </c>
      <c r="D16" s="104" t="s">
        <v>150</v>
      </c>
      <c r="E16" s="104" t="s">
        <v>151</v>
      </c>
      <c r="F16" s="104" t="s">
        <v>152</v>
      </c>
      <c r="G16" s="104" t="s">
        <v>365</v>
      </c>
    </row>
    <row r="17" spans="2:7" ht="12">
      <c r="B17" s="104"/>
      <c r="C17" s="104">
        <f>J8</f>
        <v>405</v>
      </c>
      <c r="D17" s="136">
        <f>C12</f>
        <v>0</v>
      </c>
      <c r="E17" s="136">
        <f>D12</f>
        <v>0</v>
      </c>
      <c r="F17" s="136">
        <f>E12</f>
        <v>163.5</v>
      </c>
      <c r="G17" s="135">
        <f>H12</f>
        <v>49050</v>
      </c>
    </row>
    <row r="18" spans="2:7" ht="12">
      <c r="B18" s="104">
        <v>0</v>
      </c>
      <c r="C18" s="104">
        <v>480</v>
      </c>
      <c r="D18" s="136">
        <v>0</v>
      </c>
      <c r="E18" s="136">
        <v>0</v>
      </c>
      <c r="F18" s="136">
        <v>162</v>
      </c>
      <c r="G18" s="138">
        <v>48600</v>
      </c>
    </row>
    <row r="19" spans="2:7" ht="12">
      <c r="B19" s="104">
        <v>60</v>
      </c>
      <c r="C19" s="104">
        <v>420</v>
      </c>
      <c r="D19" s="136">
        <v>0</v>
      </c>
      <c r="E19" s="136">
        <v>0</v>
      </c>
      <c r="F19" s="136">
        <v>163.20000000000076</v>
      </c>
      <c r="G19" s="138">
        <v>48960</v>
      </c>
    </row>
    <row r="20" spans="2:7" ht="12">
      <c r="B20" s="104">
        <v>120</v>
      </c>
      <c r="C20" s="104">
        <v>360</v>
      </c>
      <c r="D20" s="136">
        <v>3.9999999999531384</v>
      </c>
      <c r="E20" s="136">
        <v>0</v>
      </c>
      <c r="F20" s="136">
        <v>158.00000000007952</v>
      </c>
      <c r="G20" s="138">
        <v>48840</v>
      </c>
    </row>
    <row r="21" spans="2:7" ht="12">
      <c r="B21" s="104">
        <v>180</v>
      </c>
      <c r="C21" s="104">
        <v>300</v>
      </c>
      <c r="D21" s="136">
        <v>9.333333333406353</v>
      </c>
      <c r="E21" s="136">
        <v>0</v>
      </c>
      <c r="F21" s="136">
        <v>150.66666666665608</v>
      </c>
      <c r="G21" s="138">
        <v>48560</v>
      </c>
    </row>
    <row r="22" spans="2:7" ht="12">
      <c r="B22" s="104">
        <v>240</v>
      </c>
      <c r="C22" s="104">
        <v>240</v>
      </c>
      <c r="D22" s="136">
        <v>14.666666666661222</v>
      </c>
      <c r="E22" s="136">
        <v>0</v>
      </c>
      <c r="F22" s="136">
        <v>143.3333333333228</v>
      </c>
      <c r="G22" s="138">
        <v>48280</v>
      </c>
    </row>
    <row r="23" spans="2:7" ht="12">
      <c r="B23" s="104">
        <v>300</v>
      </c>
      <c r="C23" s="104">
        <v>180</v>
      </c>
      <c r="D23" s="136">
        <v>19.99999999994034</v>
      </c>
      <c r="E23" s="136">
        <v>0</v>
      </c>
      <c r="F23" s="136">
        <v>136.0000000000791</v>
      </c>
      <c r="G23" s="138">
        <v>48000</v>
      </c>
    </row>
    <row r="24" spans="2:7" ht="12">
      <c r="B24" s="104">
        <v>360</v>
      </c>
      <c r="C24" s="104">
        <v>120</v>
      </c>
      <c r="D24" s="136">
        <v>25.33333333338423</v>
      </c>
      <c r="E24" s="136">
        <v>0</v>
      </c>
      <c r="F24" s="136">
        <v>128.66666666656644</v>
      </c>
      <c r="G24" s="138">
        <v>47720</v>
      </c>
    </row>
    <row r="25" spans="2:7" ht="12">
      <c r="B25" s="104">
        <v>420</v>
      </c>
      <c r="C25" s="104">
        <v>60</v>
      </c>
      <c r="D25" s="136">
        <v>30.666666666608066</v>
      </c>
      <c r="E25" s="136">
        <v>0</v>
      </c>
      <c r="F25" s="136">
        <v>121.33333333339755</v>
      </c>
      <c r="G25" s="138">
        <v>47440</v>
      </c>
    </row>
    <row r="26" spans="2:7" ht="12">
      <c r="B26" s="104">
        <v>480</v>
      </c>
      <c r="C26" s="104">
        <v>0</v>
      </c>
      <c r="D26" s="136">
        <v>35.99999999999213</v>
      </c>
      <c r="E26" s="136">
        <v>0</v>
      </c>
      <c r="F26" s="136">
        <v>114.00000000002429</v>
      </c>
      <c r="G26" s="138">
        <v>47160</v>
      </c>
    </row>
  </sheetData>
  <printOptions gridLines="1" headings="1"/>
  <pageMargins left="0.75" right="0.75" top="1" bottom="1" header="0.5" footer="0.5"/>
  <pageSetup fitToHeight="1" fitToWidth="1" orientation="portrait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00390625" defaultRowHeight="12"/>
  <cols>
    <col min="1" max="1" width="2.25390625" style="0" customWidth="1"/>
    <col min="2" max="2" width="6.125" style="0" bestFit="1" customWidth="1"/>
    <col min="3" max="3" width="19.875" style="0" bestFit="1" customWidth="1"/>
    <col min="4" max="4" width="6.125" style="0" bestFit="1" customWidth="1"/>
    <col min="5" max="5" width="7.875" style="0" customWidth="1"/>
    <col min="6" max="6" width="8.875" style="0" customWidth="1"/>
    <col min="7" max="8" width="8.00390625" style="0" customWidth="1"/>
    <col min="9" max="16384" width="11.375" style="0" customWidth="1"/>
  </cols>
  <sheetData>
    <row r="1" ht="12">
      <c r="A1" s="118" t="s">
        <v>159</v>
      </c>
    </row>
    <row r="2" ht="12">
      <c r="A2" s="118" t="s">
        <v>187</v>
      </c>
    </row>
    <row r="3" ht="12">
      <c r="A3" s="118" t="s">
        <v>188</v>
      </c>
    </row>
    <row r="6" ht="12.75" thickBot="1">
      <c r="A6" t="s">
        <v>429</v>
      </c>
    </row>
    <row r="7" spans="2:8" ht="12">
      <c r="B7" s="121"/>
      <c r="C7" s="121"/>
      <c r="D7" s="121" t="s">
        <v>432</v>
      </c>
      <c r="E7" s="121" t="s">
        <v>434</v>
      </c>
      <c r="F7" s="121" t="s">
        <v>435</v>
      </c>
      <c r="G7" s="121" t="s">
        <v>437</v>
      </c>
      <c r="H7" s="121" t="s">
        <v>437</v>
      </c>
    </row>
    <row r="8" spans="2:8" ht="12.75" thickBot="1">
      <c r="B8" s="122" t="s">
        <v>430</v>
      </c>
      <c r="C8" s="122" t="s">
        <v>431</v>
      </c>
      <c r="D8" s="122" t="s">
        <v>433</v>
      </c>
      <c r="E8" s="122" t="s">
        <v>267</v>
      </c>
      <c r="F8" s="122" t="s">
        <v>436</v>
      </c>
      <c r="G8" s="122" t="s">
        <v>438</v>
      </c>
      <c r="H8" s="122" t="s">
        <v>439</v>
      </c>
    </row>
    <row r="9" spans="2:8" ht="12">
      <c r="B9" s="119" t="s">
        <v>445</v>
      </c>
      <c r="C9" s="119" t="s">
        <v>446</v>
      </c>
      <c r="D9" s="123">
        <v>0</v>
      </c>
      <c r="E9" s="123">
        <v>-119.99999999934064</v>
      </c>
      <c r="F9" s="119">
        <v>360.0000000005821</v>
      </c>
      <c r="G9" s="119">
        <v>119.99999999934064</v>
      </c>
      <c r="H9" s="119">
        <v>1E+30</v>
      </c>
    </row>
    <row r="10" spans="2:8" ht="12">
      <c r="B10" s="119" t="s">
        <v>447</v>
      </c>
      <c r="C10" s="119" t="s">
        <v>448</v>
      </c>
      <c r="D10" s="123">
        <v>0</v>
      </c>
      <c r="E10" s="123">
        <v>-114.99999999996136</v>
      </c>
      <c r="F10" s="119">
        <v>125</v>
      </c>
      <c r="G10" s="119">
        <v>114.99999999996136</v>
      </c>
      <c r="H10" s="119">
        <v>1E+30</v>
      </c>
    </row>
    <row r="11" spans="2:8" ht="12.75" thickBot="1">
      <c r="B11" s="120" t="s">
        <v>449</v>
      </c>
      <c r="C11" s="120" t="s">
        <v>450</v>
      </c>
      <c r="D11" s="124">
        <v>163.20000000000067</v>
      </c>
      <c r="E11" s="124">
        <v>0</v>
      </c>
      <c r="F11" s="120">
        <v>300.0000000000595</v>
      </c>
      <c r="G11" s="120">
        <v>1E+30</v>
      </c>
      <c r="H11" s="120">
        <v>74.99999999961486</v>
      </c>
    </row>
    <row r="13" ht="12.75" thickBot="1">
      <c r="A13" t="s">
        <v>440</v>
      </c>
    </row>
    <row r="14" spans="2:8" ht="12">
      <c r="B14" s="121"/>
      <c r="C14" s="121"/>
      <c r="D14" s="121" t="s">
        <v>432</v>
      </c>
      <c r="E14" s="121" t="s">
        <v>441</v>
      </c>
      <c r="F14" s="121" t="s">
        <v>443</v>
      </c>
      <c r="G14" s="121" t="s">
        <v>437</v>
      </c>
      <c r="H14" s="121" t="s">
        <v>437</v>
      </c>
    </row>
    <row r="15" spans="2:8" ht="12.75" thickBot="1">
      <c r="B15" s="122" t="s">
        <v>430</v>
      </c>
      <c r="C15" s="122" t="s">
        <v>431</v>
      </c>
      <c r="D15" s="122" t="s">
        <v>433</v>
      </c>
      <c r="E15" s="122" t="s">
        <v>442</v>
      </c>
      <c r="F15" s="122" t="s">
        <v>444</v>
      </c>
      <c r="G15" s="122" t="s">
        <v>438</v>
      </c>
      <c r="H15" s="122" t="s">
        <v>439</v>
      </c>
    </row>
    <row r="16" spans="2:8" ht="12">
      <c r="B16" s="119" t="s">
        <v>451</v>
      </c>
      <c r="C16" s="119" t="s">
        <v>452</v>
      </c>
      <c r="D16" s="125">
        <v>8160.000000000034</v>
      </c>
      <c r="E16" s="132">
        <v>6.000000000004491</v>
      </c>
      <c r="F16" s="119">
        <v>8160</v>
      </c>
      <c r="G16" s="119">
        <v>39.999999999961325</v>
      </c>
      <c r="H16" s="119">
        <v>8159.999999995544</v>
      </c>
    </row>
    <row r="17" spans="2:8" ht="12">
      <c r="B17" s="119" t="s">
        <v>453</v>
      </c>
      <c r="C17" s="119" t="s">
        <v>179</v>
      </c>
      <c r="D17" s="125">
        <v>4896.00000000002</v>
      </c>
      <c r="E17" s="132">
        <v>0</v>
      </c>
      <c r="F17" s="119">
        <v>4920</v>
      </c>
      <c r="G17" s="119">
        <v>1E+30</v>
      </c>
      <c r="H17" s="119">
        <v>23.99999999998578</v>
      </c>
    </row>
    <row r="18" spans="2:8" ht="12.75" thickBot="1">
      <c r="B18" s="120" t="s">
        <v>180</v>
      </c>
      <c r="C18" s="120" t="s">
        <v>181</v>
      </c>
      <c r="D18" s="126">
        <v>8160.000000000034</v>
      </c>
      <c r="E18" s="133">
        <v>0</v>
      </c>
      <c r="F18" s="120">
        <v>9000</v>
      </c>
      <c r="G18" s="120">
        <v>1E+30</v>
      </c>
      <c r="H18" s="120">
        <v>839.9999999999985</v>
      </c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A1" sqref="A1"/>
    </sheetView>
  </sheetViews>
  <sheetFormatPr defaultColWidth="9.00390625" defaultRowHeight="12"/>
  <cols>
    <col min="1" max="1" width="2.875" style="30" customWidth="1"/>
    <col min="2" max="2" width="7.125" style="30" customWidth="1"/>
    <col min="3" max="3" width="9.75390625" style="30" customWidth="1"/>
    <col min="4" max="4" width="9.875" style="30" customWidth="1"/>
    <col min="5" max="5" width="2.875" style="30" customWidth="1"/>
    <col min="6" max="6" width="9.875" style="30" customWidth="1"/>
    <col min="7" max="7" width="9.375" style="30" customWidth="1"/>
    <col min="8" max="8" width="5.875" style="30" customWidth="1"/>
    <col min="9" max="9" width="6.75390625" style="30" customWidth="1"/>
    <col min="10" max="10" width="13.375" style="30" customWidth="1"/>
    <col min="11" max="11" width="2.875" style="30" customWidth="1"/>
    <col min="12" max="12" width="15.875" style="30" customWidth="1"/>
    <col min="13" max="16384" width="10.875" style="30" customWidth="1"/>
  </cols>
  <sheetData>
    <row r="1" ht="18">
      <c r="A1" s="28" t="s">
        <v>141</v>
      </c>
    </row>
    <row r="3" spans="2:12" ht="12.75">
      <c r="B3" s="139" t="s">
        <v>189</v>
      </c>
      <c r="C3" s="139" t="s">
        <v>190</v>
      </c>
      <c r="D3" s="139" t="s">
        <v>199</v>
      </c>
      <c r="E3" s="139"/>
      <c r="F3" s="139" t="s">
        <v>211</v>
      </c>
      <c r="G3" s="139" t="s">
        <v>191</v>
      </c>
      <c r="H3" s="87"/>
      <c r="I3" s="139" t="s">
        <v>192</v>
      </c>
      <c r="J3" s="139" t="s">
        <v>193</v>
      </c>
      <c r="K3" s="139"/>
      <c r="L3" s="139" t="s">
        <v>194</v>
      </c>
    </row>
    <row r="4" spans="2:12" ht="12.75">
      <c r="B4" s="140" t="s">
        <v>195</v>
      </c>
      <c r="C4" s="140" t="s">
        <v>196</v>
      </c>
      <c r="D4" s="141">
        <v>250</v>
      </c>
      <c r="E4" s="91" t="s">
        <v>269</v>
      </c>
      <c r="F4" s="90">
        <v>250</v>
      </c>
      <c r="G4" s="146">
        <v>40</v>
      </c>
      <c r="I4" s="140" t="s">
        <v>195</v>
      </c>
      <c r="J4" s="147">
        <f aca="true" t="shared" si="0" ref="J4:J11">SUMIF($B$4:$B$11,I4,$D$4:$D$11)-SUMIF($C$4:$C$11,I4,$D$4:$D$11)</f>
        <v>399.9999999983693</v>
      </c>
      <c r="K4" s="140" t="s">
        <v>209</v>
      </c>
      <c r="L4" s="90">
        <v>400</v>
      </c>
    </row>
    <row r="5" spans="2:12" ht="12.75">
      <c r="B5" s="140" t="s">
        <v>195</v>
      </c>
      <c r="C5" s="140" t="s">
        <v>197</v>
      </c>
      <c r="D5" s="142">
        <v>149.99999999836928</v>
      </c>
      <c r="E5" s="91"/>
      <c r="F5" s="91"/>
      <c r="G5" s="146">
        <v>35</v>
      </c>
      <c r="I5" s="140" t="s">
        <v>198</v>
      </c>
      <c r="J5" s="147">
        <f t="shared" si="0"/>
        <v>249.99999999913564</v>
      </c>
      <c r="K5" s="140" t="s">
        <v>209</v>
      </c>
      <c r="L5" s="90">
        <v>250</v>
      </c>
    </row>
    <row r="6" spans="2:12" ht="12.75">
      <c r="B6" s="140" t="s">
        <v>198</v>
      </c>
      <c r="C6" s="140" t="s">
        <v>197</v>
      </c>
      <c r="D6" s="142">
        <v>249.99999999913564</v>
      </c>
      <c r="E6" s="91"/>
      <c r="F6" s="91"/>
      <c r="G6" s="146">
        <v>25</v>
      </c>
      <c r="I6" s="140" t="s">
        <v>196</v>
      </c>
      <c r="J6" s="147">
        <f t="shared" si="0"/>
        <v>3.177547114319168E-11</v>
      </c>
      <c r="K6" s="140" t="s">
        <v>209</v>
      </c>
      <c r="L6" s="90">
        <v>0</v>
      </c>
    </row>
    <row r="7" spans="2:12" ht="12.75">
      <c r="B7" s="140" t="s">
        <v>196</v>
      </c>
      <c r="C7" s="140" t="s">
        <v>200</v>
      </c>
      <c r="D7" s="142">
        <v>200.00000000030707</v>
      </c>
      <c r="E7" s="91"/>
      <c r="F7" s="91"/>
      <c r="G7" s="146">
        <v>60</v>
      </c>
      <c r="I7" s="140" t="s">
        <v>197</v>
      </c>
      <c r="J7" s="147">
        <f t="shared" si="0"/>
        <v>1.7987531464314088E-09</v>
      </c>
      <c r="K7" s="140" t="s">
        <v>209</v>
      </c>
      <c r="L7" s="90">
        <v>0</v>
      </c>
    </row>
    <row r="8" spans="2:12" ht="12.75">
      <c r="B8" s="140" t="s">
        <v>196</v>
      </c>
      <c r="C8" s="140" t="s">
        <v>201</v>
      </c>
      <c r="D8" s="142">
        <v>49.99999999972471</v>
      </c>
      <c r="E8" s="91"/>
      <c r="F8" s="91"/>
      <c r="G8" s="146">
        <v>35</v>
      </c>
      <c r="I8" s="140" t="s">
        <v>200</v>
      </c>
      <c r="J8" s="147">
        <f t="shared" si="0"/>
        <v>-200.00000000030707</v>
      </c>
      <c r="K8" s="140" t="s">
        <v>209</v>
      </c>
      <c r="L8" s="90">
        <v>-200</v>
      </c>
    </row>
    <row r="9" spans="2:12" ht="12.75">
      <c r="B9" s="140" t="s">
        <v>197</v>
      </c>
      <c r="C9" s="140" t="s">
        <v>201</v>
      </c>
      <c r="D9" s="142">
        <v>49.999999999729425</v>
      </c>
      <c r="E9" s="91"/>
      <c r="F9" s="91"/>
      <c r="G9" s="146">
        <v>55</v>
      </c>
      <c r="I9" s="140" t="s">
        <v>201</v>
      </c>
      <c r="J9" s="147">
        <f t="shared" si="0"/>
        <v>-99.99999999945413</v>
      </c>
      <c r="K9" s="140" t="s">
        <v>209</v>
      </c>
      <c r="L9" s="90">
        <v>-100</v>
      </c>
    </row>
    <row r="10" spans="2:12" ht="12.75">
      <c r="B10" s="140" t="s">
        <v>197</v>
      </c>
      <c r="C10" s="140" t="s">
        <v>202</v>
      </c>
      <c r="D10" s="142">
        <v>150.0000000003928</v>
      </c>
      <c r="E10" s="91"/>
      <c r="F10" s="91"/>
      <c r="G10" s="146">
        <v>50</v>
      </c>
      <c r="I10" s="140" t="s">
        <v>202</v>
      </c>
      <c r="J10" s="147">
        <f t="shared" si="0"/>
        <v>-150.0000000003928</v>
      </c>
      <c r="K10" s="140" t="s">
        <v>209</v>
      </c>
      <c r="L10" s="90">
        <v>-150</v>
      </c>
    </row>
    <row r="11" spans="2:12" ht="12.75">
      <c r="B11" s="140" t="s">
        <v>197</v>
      </c>
      <c r="C11" s="140" t="s">
        <v>203</v>
      </c>
      <c r="D11" s="143">
        <v>199.99999999918145</v>
      </c>
      <c r="E11" s="91"/>
      <c r="F11" s="91"/>
      <c r="G11" s="146">
        <v>65</v>
      </c>
      <c r="I11" s="140" t="s">
        <v>203</v>
      </c>
      <c r="J11" s="147">
        <f t="shared" si="0"/>
        <v>-199.99999999918145</v>
      </c>
      <c r="K11" s="140" t="s">
        <v>209</v>
      </c>
      <c r="L11" s="90">
        <v>-200</v>
      </c>
    </row>
    <row r="12" spans="5:12" ht="13.5" thickBot="1">
      <c r="E12" s="89"/>
      <c r="I12" s="140"/>
      <c r="J12" s="140"/>
      <c r="K12" s="140"/>
      <c r="L12" s="140"/>
    </row>
    <row r="13" spans="3:5" ht="13.5" thickBot="1">
      <c r="C13" s="88" t="s">
        <v>265</v>
      </c>
      <c r="D13" s="144">
        <f>SUMPRODUCT(D4:D11,G4:G11)</f>
        <v>58499.999999881664</v>
      </c>
      <c r="E13" s="145"/>
    </row>
  </sheetData>
  <printOptions gridLines="1" headings="1"/>
  <pageMargins left="0.75" right="0.75" top="1" bottom="1" header="0.5" footer="0.5"/>
  <pageSetup fitToHeight="1" fitToWidth="1" orientation="portrait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1.375" style="1" customWidth="1"/>
    <col min="3" max="5" width="7.125" style="1" customWidth="1"/>
    <col min="6" max="6" width="7.75390625" style="1" customWidth="1"/>
    <col min="7" max="10" width="7.125" style="1" customWidth="1"/>
    <col min="11" max="11" width="10.875" style="1" customWidth="1"/>
    <col min="12" max="12" width="3.00390625" style="1" bestFit="1" customWidth="1"/>
    <col min="13" max="13" width="8.125" style="1" bestFit="1" customWidth="1"/>
    <col min="14" max="14" width="2.875" style="1" customWidth="1"/>
    <col min="15" max="16384" width="10.875" style="1" customWidth="1"/>
  </cols>
  <sheetData>
    <row r="1" ht="15.75">
      <c r="A1" s="2" t="s">
        <v>242</v>
      </c>
    </row>
    <row r="3" spans="3:10" ht="12">
      <c r="C3" s="1" t="s">
        <v>243</v>
      </c>
      <c r="D3" s="1" t="s">
        <v>243</v>
      </c>
      <c r="E3" s="1" t="s">
        <v>243</v>
      </c>
      <c r="F3" s="1" t="s">
        <v>243</v>
      </c>
      <c r="G3" s="1" t="s">
        <v>243</v>
      </c>
      <c r="H3" s="1" t="s">
        <v>243</v>
      </c>
      <c r="I3" s="1" t="s">
        <v>243</v>
      </c>
      <c r="J3" s="1" t="s">
        <v>243</v>
      </c>
    </row>
    <row r="4" spans="2:10" ht="12">
      <c r="B4" s="3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</row>
    <row r="5" spans="2:10" ht="12">
      <c r="B5" s="3" t="s">
        <v>244</v>
      </c>
      <c r="C5" s="35">
        <v>10</v>
      </c>
      <c r="D5" s="35">
        <v>12</v>
      </c>
      <c r="E5" s="35">
        <v>11</v>
      </c>
      <c r="F5" s="35">
        <v>15</v>
      </c>
      <c r="G5" s="35">
        <v>24</v>
      </c>
      <c r="H5" s="35">
        <v>17</v>
      </c>
      <c r="I5" s="35">
        <v>16</v>
      </c>
      <c r="J5" s="35">
        <v>18</v>
      </c>
    </row>
    <row r="6" ht="12">
      <c r="B6" s="3"/>
    </row>
    <row r="7" spans="2:13" ht="12">
      <c r="B7" s="155" t="s">
        <v>12</v>
      </c>
      <c r="D7" s="4"/>
      <c r="E7" s="4"/>
      <c r="F7" s="4"/>
      <c r="H7" s="4"/>
      <c r="I7" s="4"/>
      <c r="J7" s="4"/>
      <c r="K7" s="4" t="s">
        <v>13</v>
      </c>
      <c r="L7" s="4"/>
      <c r="M7" s="4" t="s">
        <v>229</v>
      </c>
    </row>
    <row r="8" spans="2:13" ht="12">
      <c r="B8" s="156" t="s">
        <v>14</v>
      </c>
      <c r="C8" s="35">
        <v>1</v>
      </c>
      <c r="D8" s="35">
        <v>3</v>
      </c>
      <c r="E8" s="35">
        <v>0</v>
      </c>
      <c r="F8" s="35">
        <v>3</v>
      </c>
      <c r="G8" s="35">
        <v>3</v>
      </c>
      <c r="H8" s="35">
        <v>7</v>
      </c>
      <c r="I8" s="35">
        <v>2</v>
      </c>
      <c r="J8" s="35">
        <v>5</v>
      </c>
      <c r="K8" s="4">
        <f>SUMPRODUCT($C$15:$J$15,C8:J8)</f>
        <v>19.99999999990274</v>
      </c>
      <c r="L8" s="4" t="s">
        <v>269</v>
      </c>
      <c r="M8" s="35">
        <v>20</v>
      </c>
    </row>
    <row r="9" spans="2:13" ht="12">
      <c r="B9" s="156" t="s">
        <v>15</v>
      </c>
      <c r="C9" s="35">
        <v>2</v>
      </c>
      <c r="D9" s="35">
        <v>2</v>
      </c>
      <c r="E9" s="35">
        <v>2</v>
      </c>
      <c r="F9" s="35">
        <v>2</v>
      </c>
      <c r="G9" s="35">
        <v>2</v>
      </c>
      <c r="H9" s="35">
        <v>3</v>
      </c>
      <c r="I9" s="35">
        <v>3</v>
      </c>
      <c r="J9" s="35">
        <v>4</v>
      </c>
      <c r="K9" s="4">
        <f>SUMPRODUCT($C$15:$J$15,C9:J9)</f>
        <v>16.000000000131664</v>
      </c>
      <c r="L9" s="4" t="s">
        <v>269</v>
      </c>
      <c r="M9" s="35">
        <v>20</v>
      </c>
    </row>
    <row r="10" spans="2:13" ht="12">
      <c r="B10" s="156" t="s">
        <v>16</v>
      </c>
      <c r="C10" s="35">
        <v>2</v>
      </c>
      <c r="D10" s="35">
        <v>3</v>
      </c>
      <c r="E10" s="35">
        <v>4</v>
      </c>
      <c r="F10" s="35">
        <v>2</v>
      </c>
      <c r="G10" s="35">
        <v>3</v>
      </c>
      <c r="H10" s="35">
        <v>3</v>
      </c>
      <c r="I10" s="35">
        <v>6</v>
      </c>
      <c r="J10" s="35">
        <v>2</v>
      </c>
      <c r="K10" s="4">
        <f>SUMPRODUCT($C$15:$J$15,C10:J10)</f>
        <v>20.00000000010658</v>
      </c>
      <c r="L10" s="4" t="s">
        <v>269</v>
      </c>
      <c r="M10" s="35">
        <v>20</v>
      </c>
    </row>
    <row r="11" spans="2:13" ht="12">
      <c r="B11" s="156" t="s">
        <v>17</v>
      </c>
      <c r="C11" s="35">
        <v>2</v>
      </c>
      <c r="D11" s="35">
        <v>1</v>
      </c>
      <c r="E11" s="35">
        <v>0</v>
      </c>
      <c r="F11" s="35">
        <v>5</v>
      </c>
      <c r="G11" s="35">
        <v>4</v>
      </c>
      <c r="H11" s="35">
        <v>2</v>
      </c>
      <c r="I11" s="35">
        <v>1</v>
      </c>
      <c r="J11" s="35">
        <v>2</v>
      </c>
      <c r="K11" s="4">
        <f>SUMPRODUCT($C$15:$J$15,C11:J11)</f>
        <v>14.00000000010203</v>
      </c>
      <c r="L11" s="4" t="s">
        <v>269</v>
      </c>
      <c r="M11" s="35">
        <v>20</v>
      </c>
    </row>
    <row r="12" ht="12">
      <c r="B12" s="3"/>
    </row>
    <row r="13" spans="2:13" ht="12">
      <c r="B13" s="3"/>
      <c r="C13" s="1" t="s">
        <v>243</v>
      </c>
      <c r="D13" s="1" t="s">
        <v>243</v>
      </c>
      <c r="E13" s="1" t="s">
        <v>243</v>
      </c>
      <c r="F13" s="1" t="s">
        <v>243</v>
      </c>
      <c r="G13" s="1" t="s">
        <v>243</v>
      </c>
      <c r="H13" s="1" t="s">
        <v>243</v>
      </c>
      <c r="I13" s="1" t="s">
        <v>243</v>
      </c>
      <c r="J13" s="1" t="s">
        <v>243</v>
      </c>
      <c r="M13" s="1" t="s">
        <v>18</v>
      </c>
    </row>
    <row r="14" spans="2:13" ht="12.75" thickBot="1"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M14" s="1" t="s">
        <v>19</v>
      </c>
    </row>
    <row r="15" spans="2:13" ht="12.75" thickBot="1">
      <c r="B15" s="3" t="s">
        <v>20</v>
      </c>
      <c r="C15" s="157">
        <v>1.2171305230714838E-10</v>
      </c>
      <c r="D15" s="72">
        <v>0</v>
      </c>
      <c r="E15" s="72">
        <v>1</v>
      </c>
      <c r="F15" s="72">
        <v>1</v>
      </c>
      <c r="G15" s="72">
        <v>0.9999999999749171</v>
      </c>
      <c r="H15" s="72">
        <v>0.9999999999794684</v>
      </c>
      <c r="I15" s="72">
        <v>1</v>
      </c>
      <c r="J15" s="73">
        <v>1</v>
      </c>
      <c r="M15" s="43">
        <f>SUMPRODUCT(C15:J15,C5:J5)</f>
        <v>101.00000000026611</v>
      </c>
    </row>
    <row r="17" ht="12">
      <c r="B17" s="149" t="s">
        <v>339</v>
      </c>
    </row>
    <row r="18" spans="2:6" ht="12">
      <c r="B18" s="158" t="s">
        <v>340</v>
      </c>
      <c r="C18" s="159">
        <f>SUM(C15:E15)</f>
        <v>1.000000000121713</v>
      </c>
      <c r="D18" s="160" t="s">
        <v>268</v>
      </c>
      <c r="E18" s="169">
        <v>1</v>
      </c>
      <c r="F18" s="161"/>
    </row>
    <row r="19" spans="2:6" ht="12">
      <c r="B19" s="162" t="s">
        <v>342</v>
      </c>
      <c r="C19" s="163">
        <f>SUM(H15:I15)</f>
        <v>1.9999999999794684</v>
      </c>
      <c r="D19" s="4" t="s">
        <v>269</v>
      </c>
      <c r="E19" s="35">
        <v>1</v>
      </c>
      <c r="F19" s="164"/>
    </row>
    <row r="20" spans="2:6" ht="12">
      <c r="B20" s="165" t="s">
        <v>343</v>
      </c>
      <c r="C20" s="166">
        <f>G15</f>
        <v>0.9999999999749171</v>
      </c>
      <c r="D20" s="167" t="s">
        <v>269</v>
      </c>
      <c r="E20" s="166">
        <f>H15</f>
        <v>0.9999999999794684</v>
      </c>
      <c r="F20" s="168" t="s">
        <v>341</v>
      </c>
    </row>
  </sheetData>
  <printOptions gridLines="1" headings="1"/>
  <pageMargins left="0.75" right="0.75" top="1" bottom="1" header="0.5" footer="0.5"/>
  <pageSetup fitToHeight="1" fitToWidth="1" orientation="portrait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workbookViewId="0" topLeftCell="A1">
      <selection activeCell="A1" sqref="A1"/>
    </sheetView>
  </sheetViews>
  <sheetFormatPr defaultColWidth="9.00390625" defaultRowHeight="12"/>
  <cols>
    <col min="1" max="1" width="2.875" style="44" customWidth="1"/>
    <col min="2" max="2" width="4.125" style="1" customWidth="1"/>
    <col min="3" max="3" width="13.125" style="149" customWidth="1"/>
    <col min="4" max="40" width="2.875" style="44" customWidth="1"/>
    <col min="41" max="41" width="10.875" style="44" customWidth="1"/>
    <col min="42" max="43" width="2.875" style="44" customWidth="1"/>
    <col min="44" max="16384" width="10.875" style="44" customWidth="1"/>
  </cols>
  <sheetData>
    <row r="1" spans="1:2" ht="18">
      <c r="A1" s="52" t="s">
        <v>396</v>
      </c>
      <c r="B1" s="148"/>
    </row>
    <row r="2" spans="4:19" ht="12">
      <c r="D2" s="1"/>
      <c r="E2" s="1"/>
      <c r="F2" s="1"/>
      <c r="G2" s="1"/>
      <c r="S2" s="44" t="s">
        <v>397</v>
      </c>
    </row>
    <row r="3" spans="2:40" ht="12">
      <c r="B3" s="5"/>
      <c r="C3" s="150"/>
      <c r="D3" s="5">
        <v>1</v>
      </c>
      <c r="E3" s="5">
        <v>2</v>
      </c>
      <c r="F3" s="5">
        <v>3</v>
      </c>
      <c r="G3" s="5">
        <v>4</v>
      </c>
      <c r="H3" s="151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151">
        <v>12</v>
      </c>
      <c r="P3" s="151">
        <v>13</v>
      </c>
      <c r="Q3" s="44">
        <v>14</v>
      </c>
      <c r="R3" s="44">
        <v>15</v>
      </c>
      <c r="S3" s="44">
        <v>16</v>
      </c>
      <c r="T3" s="44">
        <v>17</v>
      </c>
      <c r="U3" s="44">
        <v>18</v>
      </c>
      <c r="V3" s="44">
        <v>19</v>
      </c>
      <c r="W3" s="44">
        <v>20</v>
      </c>
      <c r="X3" s="44">
        <v>21</v>
      </c>
      <c r="Y3" s="44">
        <v>22</v>
      </c>
      <c r="Z3" s="44">
        <v>23</v>
      </c>
      <c r="AA3" s="44">
        <v>24</v>
      </c>
      <c r="AB3" s="44">
        <v>25</v>
      </c>
      <c r="AC3" s="44">
        <v>26</v>
      </c>
      <c r="AD3" s="44">
        <v>27</v>
      </c>
      <c r="AE3" s="44">
        <v>28</v>
      </c>
      <c r="AF3" s="44">
        <v>29</v>
      </c>
      <c r="AG3" s="44">
        <v>30</v>
      </c>
      <c r="AH3" s="44">
        <v>31</v>
      </c>
      <c r="AI3" s="44">
        <v>32</v>
      </c>
      <c r="AJ3" s="44">
        <v>33</v>
      </c>
      <c r="AK3" s="44">
        <v>34</v>
      </c>
      <c r="AL3" s="44">
        <v>35</v>
      </c>
      <c r="AM3" s="44">
        <v>36</v>
      </c>
      <c r="AN3" s="44">
        <v>37</v>
      </c>
    </row>
    <row r="4" spans="2:41" ht="63.75">
      <c r="B4" s="5"/>
      <c r="C4" s="150" t="s">
        <v>398</v>
      </c>
      <c r="D4" s="152" t="s">
        <v>399</v>
      </c>
      <c r="E4" s="152" t="s">
        <v>400</v>
      </c>
      <c r="F4" s="152" t="s">
        <v>401</v>
      </c>
      <c r="G4" s="152" t="s">
        <v>402</v>
      </c>
      <c r="H4" s="152" t="s">
        <v>403</v>
      </c>
      <c r="I4" s="152" t="s">
        <v>404</v>
      </c>
      <c r="J4" s="152" t="s">
        <v>405</v>
      </c>
      <c r="K4" s="152" t="s">
        <v>406</v>
      </c>
      <c r="L4" s="152" t="s">
        <v>407</v>
      </c>
      <c r="M4" s="152" t="s">
        <v>408</v>
      </c>
      <c r="N4" s="152" t="s">
        <v>409</v>
      </c>
      <c r="O4" s="152" t="s">
        <v>410</v>
      </c>
      <c r="P4" s="152" t="s">
        <v>411</v>
      </c>
      <c r="Q4" s="152" t="s">
        <v>412</v>
      </c>
      <c r="R4" s="152" t="s">
        <v>413</v>
      </c>
      <c r="S4" s="152" t="s">
        <v>414</v>
      </c>
      <c r="T4" s="152" t="s">
        <v>415</v>
      </c>
      <c r="U4" s="152" t="s">
        <v>416</v>
      </c>
      <c r="V4" s="152" t="s">
        <v>417</v>
      </c>
      <c r="W4" s="152" t="s">
        <v>418</v>
      </c>
      <c r="X4" s="152" t="s">
        <v>419</v>
      </c>
      <c r="Y4" s="153" t="s">
        <v>420</v>
      </c>
      <c r="Z4" s="152" t="s">
        <v>421</v>
      </c>
      <c r="AA4" s="152" t="s">
        <v>422</v>
      </c>
      <c r="AB4" s="152" t="s">
        <v>423</v>
      </c>
      <c r="AC4" s="152" t="s">
        <v>424</v>
      </c>
      <c r="AD4" s="152" t="s">
        <v>425</v>
      </c>
      <c r="AE4" s="152" t="s">
        <v>426</v>
      </c>
      <c r="AF4" s="152" t="s">
        <v>427</v>
      </c>
      <c r="AG4" s="152" t="s">
        <v>231</v>
      </c>
      <c r="AH4" s="152" t="s">
        <v>232</v>
      </c>
      <c r="AI4" s="152" t="s">
        <v>233</v>
      </c>
      <c r="AJ4" s="152" t="s">
        <v>234</v>
      </c>
      <c r="AK4" s="152" t="s">
        <v>235</v>
      </c>
      <c r="AL4" s="152" t="s">
        <v>236</v>
      </c>
      <c r="AM4" s="152" t="s">
        <v>237</v>
      </c>
      <c r="AN4" s="153" t="s">
        <v>238</v>
      </c>
      <c r="AO4" s="44" t="s">
        <v>239</v>
      </c>
    </row>
    <row r="5" spans="2:43" ht="12">
      <c r="B5" s="5">
        <v>1</v>
      </c>
      <c r="C5" s="150" t="s">
        <v>399</v>
      </c>
      <c r="D5" s="35">
        <v>1</v>
      </c>
      <c r="E5" s="35">
        <v>1</v>
      </c>
      <c r="F5" s="35"/>
      <c r="G5" s="35"/>
      <c r="H5" s="35"/>
      <c r="I5" s="49"/>
      <c r="J5" s="49"/>
      <c r="K5" s="35"/>
      <c r="L5" s="35"/>
      <c r="M5" s="35"/>
      <c r="N5" s="35"/>
      <c r="O5" s="35"/>
      <c r="P5" s="35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1">
        <f aca="true" t="shared" si="0" ref="AO5:AO41">SUMPRODUCT(D5:AN5,$D$44:$AN$44)</f>
        <v>1</v>
      </c>
      <c r="AP5" s="1" t="s">
        <v>268</v>
      </c>
      <c r="AQ5" s="49">
        <v>1</v>
      </c>
    </row>
    <row r="6" spans="2:43" ht="12">
      <c r="B6" s="5">
        <v>2</v>
      </c>
      <c r="C6" s="150" t="s">
        <v>400</v>
      </c>
      <c r="D6" s="35">
        <v>1</v>
      </c>
      <c r="E6" s="35">
        <v>1</v>
      </c>
      <c r="F6" s="35">
        <v>1</v>
      </c>
      <c r="G6" s="35"/>
      <c r="H6" s="35"/>
      <c r="I6" s="49">
        <v>1</v>
      </c>
      <c r="J6" s="49">
        <v>1</v>
      </c>
      <c r="K6" s="35"/>
      <c r="L6" s="35"/>
      <c r="M6" s="35"/>
      <c r="N6" s="35"/>
      <c r="O6" s="35"/>
      <c r="P6" s="35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1">
        <f t="shared" si="0"/>
        <v>1</v>
      </c>
      <c r="AP6" s="1" t="s">
        <v>268</v>
      </c>
      <c r="AQ6" s="49">
        <v>1</v>
      </c>
    </row>
    <row r="7" spans="2:43" ht="12">
      <c r="B7" s="5">
        <v>3</v>
      </c>
      <c r="C7" s="150" t="s">
        <v>401</v>
      </c>
      <c r="D7" s="35"/>
      <c r="E7" s="35">
        <v>1</v>
      </c>
      <c r="F7" s="35">
        <v>1</v>
      </c>
      <c r="G7" s="35">
        <v>1</v>
      </c>
      <c r="H7" s="35"/>
      <c r="I7" s="49"/>
      <c r="J7" s="49">
        <v>1</v>
      </c>
      <c r="K7" s="35">
        <v>1</v>
      </c>
      <c r="L7" s="35"/>
      <c r="M7" s="35"/>
      <c r="N7" s="35"/>
      <c r="O7" s="35"/>
      <c r="P7" s="35"/>
      <c r="Q7" s="49">
        <v>1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1">
        <f t="shared" si="0"/>
        <v>2</v>
      </c>
      <c r="AP7" s="1" t="s">
        <v>268</v>
      </c>
      <c r="AQ7" s="49">
        <v>1</v>
      </c>
    </row>
    <row r="8" spans="2:43" ht="12">
      <c r="B8" s="5">
        <v>4</v>
      </c>
      <c r="C8" s="150" t="s">
        <v>402</v>
      </c>
      <c r="D8" s="35"/>
      <c r="E8" s="35"/>
      <c r="F8" s="35">
        <v>1</v>
      </c>
      <c r="G8" s="35">
        <v>1</v>
      </c>
      <c r="H8" s="35">
        <v>1</v>
      </c>
      <c r="I8" s="49"/>
      <c r="J8" s="49"/>
      <c r="K8" s="35"/>
      <c r="L8" s="35"/>
      <c r="M8" s="35"/>
      <c r="N8" s="35"/>
      <c r="O8" s="35"/>
      <c r="P8" s="35"/>
      <c r="Q8" s="49">
        <v>1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1">
        <f t="shared" si="0"/>
        <v>1</v>
      </c>
      <c r="AP8" s="1" t="s">
        <v>268</v>
      </c>
      <c r="AQ8" s="49">
        <v>1</v>
      </c>
    </row>
    <row r="9" spans="2:43" ht="12">
      <c r="B9" s="5">
        <v>5</v>
      </c>
      <c r="C9" s="150" t="s">
        <v>403</v>
      </c>
      <c r="D9" s="35"/>
      <c r="E9" s="35"/>
      <c r="F9" s="35"/>
      <c r="G9" s="35">
        <v>1</v>
      </c>
      <c r="H9" s="35">
        <v>1</v>
      </c>
      <c r="I9" s="49"/>
      <c r="J9" s="49"/>
      <c r="K9" s="35"/>
      <c r="L9" s="35"/>
      <c r="M9" s="35"/>
      <c r="N9" s="35"/>
      <c r="O9" s="35"/>
      <c r="P9" s="35"/>
      <c r="Q9" s="49">
        <v>1</v>
      </c>
      <c r="R9" s="49">
        <v>1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1">
        <f t="shared" si="0"/>
        <v>1</v>
      </c>
      <c r="AP9" s="1" t="s">
        <v>268</v>
      </c>
      <c r="AQ9" s="49">
        <v>1</v>
      </c>
    </row>
    <row r="10" spans="2:43" ht="12">
      <c r="B10" s="5">
        <v>6</v>
      </c>
      <c r="C10" s="150" t="s">
        <v>404</v>
      </c>
      <c r="D10" s="35"/>
      <c r="E10" s="35">
        <v>1</v>
      </c>
      <c r="F10" s="35"/>
      <c r="G10" s="35"/>
      <c r="H10" s="35"/>
      <c r="I10" s="49">
        <v>1</v>
      </c>
      <c r="J10" s="49">
        <v>1</v>
      </c>
      <c r="K10" s="35"/>
      <c r="L10" s="35"/>
      <c r="M10" s="35"/>
      <c r="N10" s="35"/>
      <c r="O10" s="35">
        <v>1</v>
      </c>
      <c r="P10" s="35">
        <v>1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1">
        <f t="shared" si="0"/>
        <v>1</v>
      </c>
      <c r="AP10" s="1" t="s">
        <v>268</v>
      </c>
      <c r="AQ10" s="49">
        <v>1</v>
      </c>
    </row>
    <row r="11" spans="2:43" ht="12">
      <c r="B11" s="5">
        <v>7</v>
      </c>
      <c r="C11" s="150" t="s">
        <v>405</v>
      </c>
      <c r="D11" s="35"/>
      <c r="E11" s="35">
        <v>1</v>
      </c>
      <c r="F11" s="35">
        <v>1</v>
      </c>
      <c r="G11" s="35"/>
      <c r="H11" s="35"/>
      <c r="I11" s="49">
        <v>1</v>
      </c>
      <c r="J11" s="49">
        <v>1</v>
      </c>
      <c r="K11" s="35">
        <v>1</v>
      </c>
      <c r="L11" s="35"/>
      <c r="M11" s="35"/>
      <c r="N11" s="35"/>
      <c r="O11" s="35"/>
      <c r="P11" s="35">
        <v>1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1">
        <f t="shared" si="0"/>
        <v>1</v>
      </c>
      <c r="AP11" s="1" t="s">
        <v>268</v>
      </c>
      <c r="AQ11" s="49">
        <v>1</v>
      </c>
    </row>
    <row r="12" spans="2:43" ht="12">
      <c r="B12" s="5">
        <v>8</v>
      </c>
      <c r="C12" s="150" t="s">
        <v>406</v>
      </c>
      <c r="D12" s="35"/>
      <c r="E12" s="35"/>
      <c r="F12" s="35">
        <v>1</v>
      </c>
      <c r="G12" s="35"/>
      <c r="H12" s="35"/>
      <c r="I12" s="49"/>
      <c r="J12" s="49">
        <v>1</v>
      </c>
      <c r="K12" s="35">
        <v>1</v>
      </c>
      <c r="L12" s="35"/>
      <c r="M12" s="35"/>
      <c r="N12" s="35"/>
      <c r="O12" s="35"/>
      <c r="P12" s="35">
        <v>1</v>
      </c>
      <c r="Q12" s="49">
        <v>1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>
        <f t="shared" si="0"/>
        <v>1</v>
      </c>
      <c r="AP12" s="1" t="s">
        <v>268</v>
      </c>
      <c r="AQ12" s="49">
        <v>1</v>
      </c>
    </row>
    <row r="13" spans="2:43" ht="12">
      <c r="B13" s="5">
        <v>9</v>
      </c>
      <c r="C13" s="150" t="s">
        <v>407</v>
      </c>
      <c r="D13" s="35"/>
      <c r="E13" s="35"/>
      <c r="F13" s="35"/>
      <c r="G13" s="35"/>
      <c r="H13" s="35"/>
      <c r="I13" s="49"/>
      <c r="J13" s="49"/>
      <c r="K13" s="35"/>
      <c r="L13" s="35">
        <v>1</v>
      </c>
      <c r="M13" s="35">
        <v>1</v>
      </c>
      <c r="N13" s="35"/>
      <c r="O13" s="35"/>
      <c r="P13" s="35"/>
      <c r="Q13" s="49"/>
      <c r="R13" s="49"/>
      <c r="S13" s="49"/>
      <c r="T13" s="49"/>
      <c r="U13" s="49">
        <v>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1">
        <f t="shared" si="0"/>
        <v>1</v>
      </c>
      <c r="AP13" s="1" t="s">
        <v>268</v>
      </c>
      <c r="AQ13" s="49">
        <v>1</v>
      </c>
    </row>
    <row r="14" spans="2:43" ht="12">
      <c r="B14" s="5">
        <v>10</v>
      </c>
      <c r="C14" s="150" t="s">
        <v>408</v>
      </c>
      <c r="D14" s="35"/>
      <c r="E14" s="35"/>
      <c r="F14" s="35"/>
      <c r="G14" s="35"/>
      <c r="H14" s="35"/>
      <c r="I14" s="49"/>
      <c r="J14" s="49"/>
      <c r="K14" s="35"/>
      <c r="L14" s="35">
        <v>1</v>
      </c>
      <c r="M14" s="35">
        <v>1</v>
      </c>
      <c r="N14" s="35">
        <v>1</v>
      </c>
      <c r="O14" s="35"/>
      <c r="P14" s="35"/>
      <c r="Q14" s="49"/>
      <c r="R14" s="49"/>
      <c r="S14" s="49"/>
      <c r="T14" s="49"/>
      <c r="U14" s="49">
        <v>1</v>
      </c>
      <c r="V14" s="49">
        <v>1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1">
        <f t="shared" si="0"/>
        <v>1</v>
      </c>
      <c r="AP14" s="1" t="s">
        <v>268</v>
      </c>
      <c r="AQ14" s="49">
        <v>1</v>
      </c>
    </row>
    <row r="15" spans="2:43" ht="12">
      <c r="B15" s="5">
        <v>11</v>
      </c>
      <c r="C15" s="150" t="s">
        <v>409</v>
      </c>
      <c r="D15" s="35"/>
      <c r="E15" s="35"/>
      <c r="F15" s="35"/>
      <c r="G15" s="35"/>
      <c r="H15" s="35"/>
      <c r="I15" s="49"/>
      <c r="J15" s="49"/>
      <c r="K15" s="35"/>
      <c r="L15" s="35"/>
      <c r="M15" s="35">
        <v>1</v>
      </c>
      <c r="N15" s="35">
        <v>1</v>
      </c>
      <c r="O15" s="35">
        <v>1</v>
      </c>
      <c r="P15" s="35"/>
      <c r="Q15" s="49"/>
      <c r="R15" s="49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1">
        <f t="shared" si="0"/>
        <v>1</v>
      </c>
      <c r="AP15" s="1" t="s">
        <v>268</v>
      </c>
      <c r="AQ15" s="49">
        <v>1</v>
      </c>
    </row>
    <row r="16" spans="2:43" ht="12">
      <c r="B16" s="5">
        <v>12</v>
      </c>
      <c r="C16" s="150" t="s">
        <v>410</v>
      </c>
      <c r="D16" s="35"/>
      <c r="E16" s="35"/>
      <c r="F16" s="35"/>
      <c r="G16" s="35"/>
      <c r="H16" s="35"/>
      <c r="I16" s="49">
        <v>1</v>
      </c>
      <c r="J16" s="49"/>
      <c r="K16" s="35"/>
      <c r="L16" s="35"/>
      <c r="M16" s="35"/>
      <c r="N16" s="35">
        <v>1</v>
      </c>
      <c r="O16" s="35">
        <v>1</v>
      </c>
      <c r="P16" s="35">
        <v>1</v>
      </c>
      <c r="Q16" s="49"/>
      <c r="R16" s="49"/>
      <c r="S16" s="49"/>
      <c r="T16" s="49"/>
      <c r="U16" s="49"/>
      <c r="V16" s="49">
        <v>1</v>
      </c>
      <c r="W16" s="49"/>
      <c r="X16" s="49">
        <v>1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1">
        <f t="shared" si="0"/>
        <v>1</v>
      </c>
      <c r="AP16" s="1" t="s">
        <v>268</v>
      </c>
      <c r="AQ16" s="49">
        <v>1</v>
      </c>
    </row>
    <row r="17" spans="2:43" ht="12">
      <c r="B17" s="5">
        <v>13</v>
      </c>
      <c r="C17" s="150" t="s">
        <v>411</v>
      </c>
      <c r="D17" s="35"/>
      <c r="E17" s="35"/>
      <c r="F17" s="35"/>
      <c r="G17" s="35"/>
      <c r="H17" s="35"/>
      <c r="I17" s="49">
        <v>1</v>
      </c>
      <c r="J17" s="49">
        <v>1</v>
      </c>
      <c r="K17" s="35">
        <v>1</v>
      </c>
      <c r="L17" s="35"/>
      <c r="M17" s="35"/>
      <c r="N17" s="35"/>
      <c r="O17" s="35">
        <v>1</v>
      </c>
      <c r="P17" s="35">
        <v>1</v>
      </c>
      <c r="Q17" s="49">
        <v>1</v>
      </c>
      <c r="R17" s="49"/>
      <c r="S17" s="49"/>
      <c r="T17" s="49"/>
      <c r="U17" s="49"/>
      <c r="V17" s="49"/>
      <c r="W17" s="49"/>
      <c r="X17" s="49">
        <v>1</v>
      </c>
      <c r="Y17" s="49"/>
      <c r="Z17" s="49">
        <v>1</v>
      </c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1">
        <f t="shared" si="0"/>
        <v>2</v>
      </c>
      <c r="AP17" s="1" t="s">
        <v>268</v>
      </c>
      <c r="AQ17" s="49">
        <v>1</v>
      </c>
    </row>
    <row r="18" spans="2:43" ht="12">
      <c r="B18" s="5">
        <v>14</v>
      </c>
      <c r="C18" s="150" t="s">
        <v>412</v>
      </c>
      <c r="D18" s="35"/>
      <c r="E18" s="35"/>
      <c r="F18" s="35">
        <v>1</v>
      </c>
      <c r="G18" s="35">
        <v>1</v>
      </c>
      <c r="H18" s="35">
        <v>1</v>
      </c>
      <c r="I18" s="49"/>
      <c r="J18" s="49"/>
      <c r="K18" s="35">
        <v>1</v>
      </c>
      <c r="L18" s="35"/>
      <c r="M18" s="35"/>
      <c r="N18" s="35"/>
      <c r="O18" s="35"/>
      <c r="P18" s="35">
        <v>1</v>
      </c>
      <c r="Q18" s="49">
        <v>1</v>
      </c>
      <c r="R18" s="49">
        <v>1</v>
      </c>
      <c r="S18" s="49"/>
      <c r="T18" s="49">
        <v>1</v>
      </c>
      <c r="U18" s="49"/>
      <c r="V18" s="49"/>
      <c r="W18" s="49"/>
      <c r="X18" s="49"/>
      <c r="Y18" s="49"/>
      <c r="Z18" s="49">
        <v>1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1">
        <f t="shared" si="0"/>
        <v>2</v>
      </c>
      <c r="AP18" s="1" t="s">
        <v>268</v>
      </c>
      <c r="AQ18" s="49">
        <v>1</v>
      </c>
    </row>
    <row r="19" spans="2:43" ht="12">
      <c r="B19" s="5">
        <v>15</v>
      </c>
      <c r="C19" s="150" t="s">
        <v>413</v>
      </c>
      <c r="D19" s="35"/>
      <c r="E19" s="35"/>
      <c r="F19" s="35"/>
      <c r="G19" s="35"/>
      <c r="H19" s="35">
        <v>1</v>
      </c>
      <c r="I19" s="49"/>
      <c r="J19" s="49"/>
      <c r="K19" s="35"/>
      <c r="L19" s="35"/>
      <c r="M19" s="35"/>
      <c r="N19" s="35"/>
      <c r="O19" s="35"/>
      <c r="P19" s="35"/>
      <c r="Q19" s="49">
        <v>1</v>
      </c>
      <c r="R19" s="49">
        <v>1</v>
      </c>
      <c r="S19" s="49"/>
      <c r="T19" s="49">
        <v>1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1">
        <f t="shared" si="0"/>
        <v>2</v>
      </c>
      <c r="AP19" s="1" t="s">
        <v>268</v>
      </c>
      <c r="AQ19" s="49">
        <v>1</v>
      </c>
    </row>
    <row r="20" spans="2:43" ht="12">
      <c r="B20" s="5">
        <v>16</v>
      </c>
      <c r="C20" s="150" t="s">
        <v>414</v>
      </c>
      <c r="D20" s="35"/>
      <c r="E20" s="35"/>
      <c r="F20" s="35"/>
      <c r="G20" s="35"/>
      <c r="H20" s="35"/>
      <c r="I20" s="49"/>
      <c r="J20" s="49"/>
      <c r="K20" s="35"/>
      <c r="L20" s="35"/>
      <c r="M20" s="35"/>
      <c r="N20" s="35"/>
      <c r="O20" s="35"/>
      <c r="P20" s="35"/>
      <c r="Q20" s="49"/>
      <c r="R20" s="49">
        <v>1</v>
      </c>
      <c r="S20" s="49">
        <v>1</v>
      </c>
      <c r="T20" s="49">
        <v>1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1">
        <f t="shared" si="0"/>
        <v>1</v>
      </c>
      <c r="AP20" s="1" t="s">
        <v>268</v>
      </c>
      <c r="AQ20" s="49">
        <v>1</v>
      </c>
    </row>
    <row r="21" spans="2:43" ht="12">
      <c r="B21" s="5">
        <v>17</v>
      </c>
      <c r="C21" s="150" t="s">
        <v>415</v>
      </c>
      <c r="D21" s="35"/>
      <c r="E21" s="35"/>
      <c r="F21" s="35"/>
      <c r="G21" s="35"/>
      <c r="H21" s="35"/>
      <c r="I21" s="49"/>
      <c r="J21" s="49"/>
      <c r="K21" s="35"/>
      <c r="L21" s="35"/>
      <c r="M21" s="35"/>
      <c r="N21" s="35"/>
      <c r="O21" s="35"/>
      <c r="P21" s="35"/>
      <c r="Q21" s="49">
        <v>1</v>
      </c>
      <c r="R21" s="49">
        <v>1</v>
      </c>
      <c r="S21" s="49">
        <v>1</v>
      </c>
      <c r="T21" s="49">
        <v>1</v>
      </c>
      <c r="U21" s="49"/>
      <c r="V21" s="49"/>
      <c r="W21" s="49"/>
      <c r="X21" s="49"/>
      <c r="Y21" s="49"/>
      <c r="Z21" s="49">
        <v>1</v>
      </c>
      <c r="AA21" s="49">
        <v>1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1">
        <f t="shared" si="0"/>
        <v>2</v>
      </c>
      <c r="AP21" s="1" t="s">
        <v>268</v>
      </c>
      <c r="AQ21" s="49">
        <v>1</v>
      </c>
    </row>
    <row r="22" spans="2:43" ht="12">
      <c r="B22" s="5">
        <v>18</v>
      </c>
      <c r="C22" s="150" t="s">
        <v>416</v>
      </c>
      <c r="D22" s="35"/>
      <c r="E22" s="35"/>
      <c r="F22" s="35"/>
      <c r="G22" s="35"/>
      <c r="H22" s="35"/>
      <c r="I22" s="49"/>
      <c r="J22" s="49"/>
      <c r="K22" s="35"/>
      <c r="L22" s="35">
        <v>1</v>
      </c>
      <c r="M22" s="35">
        <v>1</v>
      </c>
      <c r="N22" s="35"/>
      <c r="O22" s="35"/>
      <c r="P22" s="35"/>
      <c r="Q22" s="49"/>
      <c r="R22" s="49"/>
      <c r="S22" s="49"/>
      <c r="T22" s="49"/>
      <c r="U22" s="49">
        <v>1</v>
      </c>
      <c r="V22" s="49">
        <v>1</v>
      </c>
      <c r="W22" s="49">
        <v>1</v>
      </c>
      <c r="X22" s="49"/>
      <c r="Y22" s="49"/>
      <c r="Z22" s="49"/>
      <c r="AA22" s="49"/>
      <c r="AB22" s="49"/>
      <c r="AC22" s="49">
        <v>1</v>
      </c>
      <c r="AD22" s="49"/>
      <c r="AE22" s="49"/>
      <c r="AF22" s="49">
        <v>1</v>
      </c>
      <c r="AG22" s="49"/>
      <c r="AH22" s="49"/>
      <c r="AI22" s="49"/>
      <c r="AJ22" s="49"/>
      <c r="AK22" s="49"/>
      <c r="AL22" s="49"/>
      <c r="AM22" s="49"/>
      <c r="AN22" s="49"/>
      <c r="AO22" s="1">
        <f t="shared" si="0"/>
        <v>1</v>
      </c>
      <c r="AP22" s="1" t="s">
        <v>268</v>
      </c>
      <c r="AQ22" s="49">
        <v>1</v>
      </c>
    </row>
    <row r="23" spans="2:43" ht="12">
      <c r="B23" s="5">
        <v>19</v>
      </c>
      <c r="C23" s="150" t="s">
        <v>417</v>
      </c>
      <c r="D23" s="49"/>
      <c r="E23" s="35"/>
      <c r="F23" s="35"/>
      <c r="G23" s="35"/>
      <c r="H23" s="35"/>
      <c r="I23" s="35"/>
      <c r="J23" s="35"/>
      <c r="K23" s="35"/>
      <c r="L23" s="35"/>
      <c r="M23" s="35">
        <v>1</v>
      </c>
      <c r="N23" s="35">
        <v>1</v>
      </c>
      <c r="O23" s="35">
        <v>1</v>
      </c>
      <c r="P23" s="35"/>
      <c r="Q23" s="49"/>
      <c r="R23" s="49"/>
      <c r="S23" s="49"/>
      <c r="T23" s="49"/>
      <c r="U23" s="49">
        <v>1</v>
      </c>
      <c r="V23" s="49">
        <v>1</v>
      </c>
      <c r="W23" s="49">
        <v>1</v>
      </c>
      <c r="X23" s="49">
        <v>1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1">
        <f t="shared" si="0"/>
        <v>2</v>
      </c>
      <c r="AP23" s="1" t="s">
        <v>268</v>
      </c>
      <c r="AQ23" s="49">
        <v>1</v>
      </c>
    </row>
    <row r="24" spans="2:43" ht="12">
      <c r="B24" s="5">
        <v>20</v>
      </c>
      <c r="C24" s="150" t="s">
        <v>418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9"/>
      <c r="R24" s="49"/>
      <c r="S24" s="49"/>
      <c r="T24" s="49"/>
      <c r="U24" s="49">
        <v>1</v>
      </c>
      <c r="V24" s="49">
        <v>1</v>
      </c>
      <c r="W24" s="49">
        <v>1</v>
      </c>
      <c r="X24" s="49">
        <v>1</v>
      </c>
      <c r="Y24" s="49">
        <v>1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1">
        <f t="shared" si="0"/>
        <v>1</v>
      </c>
      <c r="AP24" s="1" t="s">
        <v>268</v>
      </c>
      <c r="AQ24" s="49">
        <v>1</v>
      </c>
    </row>
    <row r="25" spans="2:43" ht="12">
      <c r="B25" s="5">
        <v>21</v>
      </c>
      <c r="C25" s="150" t="s">
        <v>419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>
        <v>1</v>
      </c>
      <c r="P25" s="35">
        <v>1</v>
      </c>
      <c r="Q25" s="49"/>
      <c r="R25" s="49"/>
      <c r="S25" s="49"/>
      <c r="T25" s="49"/>
      <c r="U25" s="49"/>
      <c r="V25" s="49">
        <v>1</v>
      </c>
      <c r="W25" s="49">
        <v>1</v>
      </c>
      <c r="X25" s="49">
        <v>1</v>
      </c>
      <c r="Y25" s="49">
        <v>1</v>
      </c>
      <c r="Z25" s="49">
        <v>1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1">
        <f t="shared" si="0"/>
        <v>1</v>
      </c>
      <c r="AP25" s="1" t="s">
        <v>268</v>
      </c>
      <c r="AQ25" s="49">
        <v>1</v>
      </c>
    </row>
    <row r="26" spans="2:43" ht="12">
      <c r="B26" s="5">
        <v>22</v>
      </c>
      <c r="C26" s="151" t="s">
        <v>420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9"/>
      <c r="R26" s="49"/>
      <c r="S26" s="49"/>
      <c r="T26" s="49"/>
      <c r="U26" s="49"/>
      <c r="V26" s="49"/>
      <c r="W26" s="49">
        <v>1</v>
      </c>
      <c r="X26" s="49">
        <v>1</v>
      </c>
      <c r="Y26" s="49">
        <v>1</v>
      </c>
      <c r="Z26" s="49">
        <v>1</v>
      </c>
      <c r="AA26" s="49"/>
      <c r="AB26" s="49">
        <v>1</v>
      </c>
      <c r="AC26" s="49"/>
      <c r="AD26" s="49"/>
      <c r="AE26" s="49"/>
      <c r="AF26" s="49">
        <v>1</v>
      </c>
      <c r="AG26" s="49"/>
      <c r="AH26" s="49">
        <v>1</v>
      </c>
      <c r="AI26" s="49"/>
      <c r="AJ26" s="49">
        <v>1</v>
      </c>
      <c r="AK26" s="49"/>
      <c r="AL26" s="49"/>
      <c r="AM26" s="49"/>
      <c r="AN26" s="49"/>
      <c r="AO26" s="1">
        <f t="shared" si="0"/>
        <v>2</v>
      </c>
      <c r="AP26" s="1" t="s">
        <v>268</v>
      </c>
      <c r="AQ26" s="49">
        <v>1</v>
      </c>
    </row>
    <row r="27" spans="2:43" ht="12">
      <c r="B27" s="5">
        <v>23</v>
      </c>
      <c r="C27" s="150" t="s">
        <v>421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>
        <v>1</v>
      </c>
      <c r="Q27" s="49">
        <v>1</v>
      </c>
      <c r="R27" s="49"/>
      <c r="S27" s="49"/>
      <c r="T27" s="49">
        <v>1</v>
      </c>
      <c r="U27" s="49"/>
      <c r="V27" s="49"/>
      <c r="W27" s="49"/>
      <c r="X27" s="49">
        <v>1</v>
      </c>
      <c r="Y27" s="49">
        <v>1</v>
      </c>
      <c r="Z27" s="49">
        <v>1</v>
      </c>
      <c r="AA27" s="49">
        <v>1</v>
      </c>
      <c r="AB27" s="49">
        <v>1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">
        <f t="shared" si="0"/>
        <v>3</v>
      </c>
      <c r="AP27" s="1" t="s">
        <v>268</v>
      </c>
      <c r="AQ27" s="49">
        <v>1</v>
      </c>
    </row>
    <row r="28" spans="2:43" ht="12">
      <c r="B28" s="5">
        <v>24</v>
      </c>
      <c r="C28" s="150" t="s">
        <v>422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9"/>
      <c r="R28" s="49"/>
      <c r="S28" s="49"/>
      <c r="T28" s="49">
        <v>1</v>
      </c>
      <c r="U28" s="49"/>
      <c r="V28" s="49"/>
      <c r="W28" s="49"/>
      <c r="X28" s="49"/>
      <c r="Y28" s="49"/>
      <c r="Z28" s="49">
        <v>1</v>
      </c>
      <c r="AA28" s="49">
        <v>1</v>
      </c>
      <c r="AB28" s="49">
        <v>1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1">
        <f t="shared" si="0"/>
        <v>1</v>
      </c>
      <c r="AP28" s="1" t="s">
        <v>268</v>
      </c>
      <c r="AQ28" s="49">
        <v>1</v>
      </c>
    </row>
    <row r="29" spans="2:43" ht="12">
      <c r="B29" s="5">
        <v>25</v>
      </c>
      <c r="C29" s="150" t="s">
        <v>423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>
        <v>1</v>
      </c>
      <c r="Z29" s="49">
        <v>1</v>
      </c>
      <c r="AA29" s="49">
        <v>1</v>
      </c>
      <c r="AB29" s="49">
        <v>1</v>
      </c>
      <c r="AC29" s="49"/>
      <c r="AD29" s="49"/>
      <c r="AE29" s="49"/>
      <c r="AF29" s="49"/>
      <c r="AG29" s="49"/>
      <c r="AH29" s="49"/>
      <c r="AI29" s="49"/>
      <c r="AJ29" s="49">
        <v>1</v>
      </c>
      <c r="AK29" s="49">
        <v>1</v>
      </c>
      <c r="AL29" s="49"/>
      <c r="AM29" s="49"/>
      <c r="AN29" s="49"/>
      <c r="AO29" s="1">
        <f t="shared" si="0"/>
        <v>1</v>
      </c>
      <c r="AP29" s="1" t="s">
        <v>268</v>
      </c>
      <c r="AQ29" s="49">
        <v>1</v>
      </c>
    </row>
    <row r="30" spans="2:43" ht="12">
      <c r="B30" s="5">
        <v>26</v>
      </c>
      <c r="C30" s="150" t="s">
        <v>424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>
        <v>1</v>
      </c>
      <c r="V30" s="49"/>
      <c r="W30" s="49"/>
      <c r="X30" s="49"/>
      <c r="Y30" s="49"/>
      <c r="Z30" s="49"/>
      <c r="AA30" s="49"/>
      <c r="AB30" s="49"/>
      <c r="AC30" s="49">
        <v>1</v>
      </c>
      <c r="AD30" s="49">
        <v>1</v>
      </c>
      <c r="AE30" s="49"/>
      <c r="AF30" s="49">
        <v>1</v>
      </c>
      <c r="AG30" s="49"/>
      <c r="AH30" s="49"/>
      <c r="AI30" s="49"/>
      <c r="AJ30" s="49"/>
      <c r="AK30" s="49"/>
      <c r="AL30" s="49"/>
      <c r="AM30" s="49"/>
      <c r="AN30" s="49"/>
      <c r="AO30" s="1">
        <f t="shared" si="0"/>
        <v>1</v>
      </c>
      <c r="AP30" s="1" t="s">
        <v>268</v>
      </c>
      <c r="AQ30" s="49">
        <v>1</v>
      </c>
    </row>
    <row r="31" spans="2:43" ht="12">
      <c r="B31" s="5">
        <v>27</v>
      </c>
      <c r="C31" s="150" t="s">
        <v>425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>
        <v>1</v>
      </c>
      <c r="AD31" s="49">
        <v>1</v>
      </c>
      <c r="AE31" s="49">
        <v>1</v>
      </c>
      <c r="AF31" s="49">
        <v>1</v>
      </c>
      <c r="AG31" s="49">
        <v>1</v>
      </c>
      <c r="AH31" s="49"/>
      <c r="AI31" s="49"/>
      <c r="AJ31" s="49"/>
      <c r="AK31" s="49"/>
      <c r="AL31" s="49"/>
      <c r="AM31" s="49"/>
      <c r="AN31" s="49"/>
      <c r="AO31" s="1">
        <f t="shared" si="0"/>
        <v>1</v>
      </c>
      <c r="AP31" s="1" t="s">
        <v>268</v>
      </c>
      <c r="AQ31" s="49">
        <v>1</v>
      </c>
    </row>
    <row r="32" spans="2:43" ht="12">
      <c r="B32" s="5">
        <v>28</v>
      </c>
      <c r="C32" s="150" t="s">
        <v>426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>
        <v>1</v>
      </c>
      <c r="AE32" s="49">
        <v>1</v>
      </c>
      <c r="AF32" s="49"/>
      <c r="AG32" s="49">
        <v>1</v>
      </c>
      <c r="AH32" s="49"/>
      <c r="AI32" s="49"/>
      <c r="AJ32" s="49"/>
      <c r="AK32" s="49"/>
      <c r="AL32" s="49"/>
      <c r="AM32" s="49"/>
      <c r="AN32" s="49"/>
      <c r="AO32" s="1">
        <f t="shared" si="0"/>
        <v>1</v>
      </c>
      <c r="AP32" s="1" t="s">
        <v>268</v>
      </c>
      <c r="AQ32" s="49">
        <v>1</v>
      </c>
    </row>
    <row r="33" spans="2:43" ht="12">
      <c r="B33" s="5">
        <v>29</v>
      </c>
      <c r="C33" s="150" t="s">
        <v>427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>
        <v>1</v>
      </c>
      <c r="V33" s="49"/>
      <c r="W33" s="49"/>
      <c r="X33" s="49"/>
      <c r="Y33" s="49">
        <v>1</v>
      </c>
      <c r="Z33" s="49"/>
      <c r="AA33" s="49"/>
      <c r="AB33" s="49"/>
      <c r="AC33" s="49">
        <v>1</v>
      </c>
      <c r="AD33" s="49">
        <v>1</v>
      </c>
      <c r="AE33" s="49"/>
      <c r="AF33" s="49">
        <v>1</v>
      </c>
      <c r="AG33" s="49">
        <v>1</v>
      </c>
      <c r="AH33" s="49">
        <v>1</v>
      </c>
      <c r="AI33" s="49">
        <v>1</v>
      </c>
      <c r="AJ33" s="49"/>
      <c r="AK33" s="49"/>
      <c r="AL33" s="49"/>
      <c r="AM33" s="49"/>
      <c r="AN33" s="49"/>
      <c r="AO33" s="1">
        <f t="shared" si="0"/>
        <v>1</v>
      </c>
      <c r="AP33" s="1" t="s">
        <v>268</v>
      </c>
      <c r="AQ33" s="49">
        <v>1</v>
      </c>
    </row>
    <row r="34" spans="2:43" ht="12">
      <c r="B34" s="5">
        <v>30</v>
      </c>
      <c r="C34" s="150" t="s">
        <v>231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>
        <v>1</v>
      </c>
      <c r="AE34" s="49">
        <v>1</v>
      </c>
      <c r="AF34" s="49">
        <v>1</v>
      </c>
      <c r="AG34" s="49">
        <v>1</v>
      </c>
      <c r="AH34" s="49"/>
      <c r="AI34" s="49">
        <v>1</v>
      </c>
      <c r="AJ34" s="49"/>
      <c r="AK34" s="49"/>
      <c r="AL34" s="49"/>
      <c r="AM34" s="49"/>
      <c r="AN34" s="49"/>
      <c r="AO34" s="1">
        <f t="shared" si="0"/>
        <v>1</v>
      </c>
      <c r="AP34" s="1" t="s">
        <v>268</v>
      </c>
      <c r="AQ34" s="49">
        <v>1</v>
      </c>
    </row>
    <row r="35" spans="2:43" ht="12">
      <c r="B35" s="5">
        <v>31</v>
      </c>
      <c r="C35" s="150" t="s">
        <v>232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5"/>
      <c r="R35" s="35"/>
      <c r="S35" s="49"/>
      <c r="T35" s="49"/>
      <c r="U35" s="49"/>
      <c r="V35" s="49"/>
      <c r="W35" s="49"/>
      <c r="X35" s="49"/>
      <c r="Y35" s="49">
        <v>1</v>
      </c>
      <c r="Z35" s="49"/>
      <c r="AA35" s="49"/>
      <c r="AB35" s="49"/>
      <c r="AC35" s="49"/>
      <c r="AD35" s="49"/>
      <c r="AE35" s="49"/>
      <c r="AF35" s="49">
        <v>1</v>
      </c>
      <c r="AG35" s="49"/>
      <c r="AH35" s="49">
        <v>1</v>
      </c>
      <c r="AI35" s="49">
        <v>1</v>
      </c>
      <c r="AJ35" s="49">
        <v>1</v>
      </c>
      <c r="AK35" s="49"/>
      <c r="AL35" s="49"/>
      <c r="AM35" s="49"/>
      <c r="AN35" s="49"/>
      <c r="AO35" s="1">
        <f t="shared" si="0"/>
        <v>1</v>
      </c>
      <c r="AP35" s="1" t="s">
        <v>268</v>
      </c>
      <c r="AQ35" s="49">
        <v>1</v>
      </c>
    </row>
    <row r="36" spans="2:43" ht="12">
      <c r="B36" s="5">
        <v>32</v>
      </c>
      <c r="C36" s="150" t="s">
        <v>233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>
        <v>1</v>
      </c>
      <c r="AG36" s="49">
        <v>1</v>
      </c>
      <c r="AH36" s="49">
        <v>1</v>
      </c>
      <c r="AI36" s="49">
        <v>1</v>
      </c>
      <c r="AJ36" s="49">
        <v>1</v>
      </c>
      <c r="AK36" s="49"/>
      <c r="AL36" s="49">
        <v>1</v>
      </c>
      <c r="AM36" s="49">
        <v>1</v>
      </c>
      <c r="AN36" s="49">
        <v>1</v>
      </c>
      <c r="AO36" s="1">
        <f t="shared" si="0"/>
        <v>2</v>
      </c>
      <c r="AP36" s="1" t="s">
        <v>268</v>
      </c>
      <c r="AQ36" s="49">
        <v>1</v>
      </c>
    </row>
    <row r="37" spans="2:43" ht="12">
      <c r="B37" s="5">
        <v>33</v>
      </c>
      <c r="C37" s="150" t="s">
        <v>234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>
        <v>1</v>
      </c>
      <c r="Z37" s="49"/>
      <c r="AA37" s="49"/>
      <c r="AB37" s="49">
        <v>1</v>
      </c>
      <c r="AC37" s="49"/>
      <c r="AD37" s="49"/>
      <c r="AE37" s="49"/>
      <c r="AF37" s="49"/>
      <c r="AG37" s="49"/>
      <c r="AH37" s="49">
        <v>1</v>
      </c>
      <c r="AI37" s="49">
        <v>1</v>
      </c>
      <c r="AJ37" s="49">
        <v>1</v>
      </c>
      <c r="AK37" s="49">
        <v>1</v>
      </c>
      <c r="AL37" s="49"/>
      <c r="AM37" s="49"/>
      <c r="AN37" s="49"/>
      <c r="AO37" s="1">
        <f t="shared" si="0"/>
        <v>1</v>
      </c>
      <c r="AP37" s="1" t="s">
        <v>268</v>
      </c>
      <c r="AQ37" s="49">
        <v>1</v>
      </c>
    </row>
    <row r="38" spans="2:43" ht="12">
      <c r="B38" s="5">
        <v>34</v>
      </c>
      <c r="C38" s="150" t="s">
        <v>235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>
        <v>1</v>
      </c>
      <c r="AC38" s="49"/>
      <c r="AD38" s="49"/>
      <c r="AE38" s="49"/>
      <c r="AF38" s="49"/>
      <c r="AG38" s="49"/>
      <c r="AH38" s="49"/>
      <c r="AI38" s="49"/>
      <c r="AJ38" s="49">
        <v>1</v>
      </c>
      <c r="AK38" s="49">
        <v>1</v>
      </c>
      <c r="AL38" s="49">
        <v>1</v>
      </c>
      <c r="AM38" s="49"/>
      <c r="AN38" s="49"/>
      <c r="AO38" s="1">
        <f t="shared" si="0"/>
        <v>1</v>
      </c>
      <c r="AP38" s="1" t="s">
        <v>268</v>
      </c>
      <c r="AQ38" s="49">
        <v>1</v>
      </c>
    </row>
    <row r="39" spans="2:43" ht="12">
      <c r="B39" s="5">
        <v>35</v>
      </c>
      <c r="C39" s="150" t="s">
        <v>236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>
        <v>1</v>
      </c>
      <c r="AJ39" s="49"/>
      <c r="AK39" s="49">
        <v>1</v>
      </c>
      <c r="AL39" s="49">
        <v>1</v>
      </c>
      <c r="AM39" s="49">
        <v>1</v>
      </c>
      <c r="AN39" s="49"/>
      <c r="AO39" s="1">
        <f t="shared" si="0"/>
        <v>1</v>
      </c>
      <c r="AP39" s="1" t="s">
        <v>268</v>
      </c>
      <c r="AQ39" s="49">
        <v>1</v>
      </c>
    </row>
    <row r="40" spans="2:43" ht="12">
      <c r="B40" s="5">
        <v>36</v>
      </c>
      <c r="C40" s="150" t="s">
        <v>237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>
        <v>1</v>
      </c>
      <c r="AM40" s="49">
        <v>1</v>
      </c>
      <c r="AN40" s="49">
        <v>1</v>
      </c>
      <c r="AO40" s="1">
        <f t="shared" si="0"/>
        <v>1</v>
      </c>
      <c r="AP40" s="1" t="s">
        <v>268</v>
      </c>
      <c r="AQ40" s="49">
        <v>1</v>
      </c>
    </row>
    <row r="41" spans="2:43" ht="12">
      <c r="B41" s="5">
        <v>37</v>
      </c>
      <c r="C41" s="151" t="s">
        <v>238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>
        <v>1</v>
      </c>
      <c r="AJ41" s="49"/>
      <c r="AK41" s="49"/>
      <c r="AL41" s="49"/>
      <c r="AM41" s="49">
        <v>1</v>
      </c>
      <c r="AN41" s="49">
        <v>1</v>
      </c>
      <c r="AO41" s="1">
        <f t="shared" si="0"/>
        <v>1</v>
      </c>
      <c r="AP41" s="1" t="s">
        <v>268</v>
      </c>
      <c r="AQ41" s="49">
        <v>1</v>
      </c>
    </row>
    <row r="42" spans="2:3" ht="12">
      <c r="B42" s="5"/>
      <c r="C42" s="151"/>
    </row>
    <row r="43" ht="12.75" thickBot="1">
      <c r="AQ43" s="3" t="s">
        <v>240</v>
      </c>
    </row>
    <row r="44" spans="3:43" ht="12.75" thickBot="1">
      <c r="C44" s="3" t="s">
        <v>241</v>
      </c>
      <c r="D44" s="21">
        <v>0</v>
      </c>
      <c r="E44" s="85">
        <v>1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</v>
      </c>
      <c r="N44" s="85">
        <v>0</v>
      </c>
      <c r="O44" s="85">
        <v>0</v>
      </c>
      <c r="P44" s="85">
        <v>0</v>
      </c>
      <c r="Q44" s="85">
        <v>1</v>
      </c>
      <c r="R44" s="85">
        <v>0</v>
      </c>
      <c r="S44" s="85">
        <v>0</v>
      </c>
      <c r="T44" s="85">
        <v>1</v>
      </c>
      <c r="U44" s="85">
        <v>0</v>
      </c>
      <c r="V44" s="85">
        <v>0</v>
      </c>
      <c r="W44" s="85">
        <v>0</v>
      </c>
      <c r="X44" s="85">
        <v>1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1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1</v>
      </c>
      <c r="AK44" s="85">
        <v>0</v>
      </c>
      <c r="AL44" s="85">
        <v>0</v>
      </c>
      <c r="AM44" s="85">
        <v>1</v>
      </c>
      <c r="AN44" s="154">
        <v>0</v>
      </c>
      <c r="AQ44" s="43">
        <f>SUM(D44:AN44)</f>
        <v>8</v>
      </c>
    </row>
  </sheetData>
  <printOptions gridLines="1" headings="1"/>
  <pageMargins left="0.75" right="0.75" top="1" bottom="1" header="0.5" footer="0.5"/>
  <pageSetup fitToHeight="1" fitToWidth="1" orientation="portrait" paperSize="9" scale="5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workbookViewId="0" topLeftCell="A1">
      <selection activeCell="A1" sqref="A1"/>
    </sheetView>
  </sheetViews>
  <sheetFormatPr defaultColWidth="9.00390625" defaultRowHeight="12"/>
  <cols>
    <col min="1" max="2" width="2.875" style="1" customWidth="1"/>
    <col min="3" max="3" width="11.25390625" style="1" customWidth="1"/>
    <col min="4" max="6" width="10.875" style="1" customWidth="1"/>
    <col min="7" max="8" width="10.00390625" style="1" customWidth="1"/>
    <col min="9" max="9" width="7.375" style="1" customWidth="1"/>
    <col min="10" max="10" width="8.75390625" style="1" bestFit="1" customWidth="1"/>
    <col min="11" max="11" width="8.125" style="1" customWidth="1"/>
    <col min="12" max="13" width="7.00390625" style="1" customWidth="1"/>
    <col min="14" max="14" width="11.75390625" style="1" bestFit="1" customWidth="1"/>
    <col min="15" max="25" width="3.25390625" style="1" customWidth="1"/>
    <col min="26" max="16384" width="10.875" style="1" customWidth="1"/>
  </cols>
  <sheetData>
    <row r="1" ht="15.75">
      <c r="A1" s="2" t="s">
        <v>296</v>
      </c>
    </row>
    <row r="3" spans="2:3" ht="15">
      <c r="B3" s="186" t="s">
        <v>351</v>
      </c>
      <c r="C3" s="149"/>
    </row>
    <row r="4" spans="3:8" ht="12.75">
      <c r="C4" s="29" t="s">
        <v>352</v>
      </c>
      <c r="H4" s="7"/>
    </row>
    <row r="5" spans="3:8" ht="12.75">
      <c r="C5" s="29" t="s">
        <v>267</v>
      </c>
      <c r="D5" s="1" t="s">
        <v>354</v>
      </c>
      <c r="E5" s="1" t="s">
        <v>355</v>
      </c>
      <c r="F5" s="1" t="s">
        <v>356</v>
      </c>
      <c r="H5" s="7"/>
    </row>
    <row r="6" spans="3:8" ht="12">
      <c r="C6" s="1" t="s">
        <v>357</v>
      </c>
      <c r="D6" s="63">
        <v>425</v>
      </c>
      <c r="E6" s="63">
        <v>450</v>
      </c>
      <c r="F6" s="63">
        <v>475</v>
      </c>
      <c r="H6" s="56"/>
    </row>
    <row r="7" spans="3:8" ht="12">
      <c r="C7" s="1" t="s">
        <v>358</v>
      </c>
      <c r="D7" s="63">
        <v>350</v>
      </c>
      <c r="E7" s="63">
        <v>375</v>
      </c>
      <c r="F7" s="63">
        <v>325</v>
      </c>
      <c r="H7" s="56"/>
    </row>
    <row r="8" ht="13.5" thickBot="1">
      <c r="N8" s="88" t="s">
        <v>364</v>
      </c>
    </row>
    <row r="9" spans="3:14" ht="12.75">
      <c r="C9" s="87" t="s">
        <v>359</v>
      </c>
      <c r="G9" s="1" t="s">
        <v>260</v>
      </c>
      <c r="M9" s="3" t="s">
        <v>288</v>
      </c>
      <c r="N9" s="176">
        <f>SUMPRODUCT(D6:F7,D11:F12)</f>
        <v>339375</v>
      </c>
    </row>
    <row r="10" spans="3:14" ht="12.75">
      <c r="C10" s="87" t="s">
        <v>361</v>
      </c>
      <c r="D10" s="1" t="s">
        <v>354</v>
      </c>
      <c r="E10" s="1" t="s">
        <v>355</v>
      </c>
      <c r="F10" s="1" t="s">
        <v>356</v>
      </c>
      <c r="G10" s="1" t="s">
        <v>362</v>
      </c>
      <c r="I10" s="1" t="s">
        <v>211</v>
      </c>
      <c r="J10" s="5"/>
      <c r="M10" s="3" t="s">
        <v>289</v>
      </c>
      <c r="N10" s="181">
        <f>SUMPRODUCT(D18:H20,D24:H26)</f>
        <v>32500</v>
      </c>
    </row>
    <row r="11" spans="3:14" ht="12.75" thickBot="1">
      <c r="C11" s="1" t="s">
        <v>357</v>
      </c>
      <c r="D11" s="171">
        <v>450</v>
      </c>
      <c r="E11" s="172">
        <v>0</v>
      </c>
      <c r="F11" s="173">
        <v>0</v>
      </c>
      <c r="G11" s="174">
        <f>SUM(D11:F11)</f>
        <v>450</v>
      </c>
      <c r="H11" s="1" t="s">
        <v>269</v>
      </c>
      <c r="I11" s="35">
        <v>500</v>
      </c>
      <c r="J11" s="68"/>
      <c r="K11" s="7"/>
      <c r="M11" s="3" t="s">
        <v>290</v>
      </c>
      <c r="N11" s="181">
        <f>SUMPRODUCT(J18:J20,N24:N26)</f>
        <v>80000</v>
      </c>
    </row>
    <row r="12" spans="3:14" ht="12.75" thickBot="1">
      <c r="C12" s="1" t="s">
        <v>358</v>
      </c>
      <c r="D12" s="182">
        <v>75</v>
      </c>
      <c r="E12" s="183">
        <v>325</v>
      </c>
      <c r="F12" s="184">
        <v>0</v>
      </c>
      <c r="G12" s="174">
        <f>SUM(D12:F12)</f>
        <v>400</v>
      </c>
      <c r="H12" s="1" t="s">
        <v>269</v>
      </c>
      <c r="I12" s="35">
        <v>400</v>
      </c>
      <c r="J12" s="68"/>
      <c r="K12" s="7"/>
      <c r="M12" s="3" t="s">
        <v>265</v>
      </c>
      <c r="N12" s="23">
        <f>SUM(N9:N11)</f>
        <v>451875</v>
      </c>
    </row>
    <row r="13" spans="3:6" ht="12">
      <c r="C13" s="1" t="s">
        <v>291</v>
      </c>
      <c r="D13" s="174">
        <f>SUM(D11:D12)</f>
        <v>525</v>
      </c>
      <c r="E13" s="174">
        <f>SUM(E11:E12)</f>
        <v>325</v>
      </c>
      <c r="F13" s="174">
        <f>SUM(F11:F12)</f>
        <v>0</v>
      </c>
    </row>
    <row r="15" spans="2:3" ht="15">
      <c r="B15" s="186" t="s">
        <v>292</v>
      </c>
      <c r="C15" s="149"/>
    </row>
    <row r="16" spans="3:10" ht="12.75">
      <c r="C16" s="29" t="s">
        <v>293</v>
      </c>
      <c r="J16" s="1" t="s">
        <v>353</v>
      </c>
    </row>
    <row r="17" spans="3:12" ht="12.75">
      <c r="C17" s="29" t="s">
        <v>267</v>
      </c>
      <c r="D17" s="1" t="s">
        <v>297</v>
      </c>
      <c r="E17" s="1" t="s">
        <v>298</v>
      </c>
      <c r="F17" s="1" t="s">
        <v>299</v>
      </c>
      <c r="G17" s="1" t="s">
        <v>300</v>
      </c>
      <c r="H17" s="1" t="s">
        <v>301</v>
      </c>
      <c r="J17" s="1" t="s">
        <v>267</v>
      </c>
      <c r="L17" s="1" t="s">
        <v>211</v>
      </c>
    </row>
    <row r="18" spans="3:12" ht="12">
      <c r="C18" s="1" t="s">
        <v>354</v>
      </c>
      <c r="D18" s="63">
        <v>30</v>
      </c>
      <c r="E18" s="63">
        <v>70</v>
      </c>
      <c r="F18" s="63">
        <v>75</v>
      </c>
      <c r="G18" s="63">
        <v>55</v>
      </c>
      <c r="H18" s="63">
        <v>40</v>
      </c>
      <c r="J18" s="63">
        <v>50000</v>
      </c>
      <c r="L18" s="35">
        <v>700</v>
      </c>
    </row>
    <row r="19" spans="3:12" ht="12">
      <c r="C19" s="1" t="s">
        <v>355</v>
      </c>
      <c r="D19" s="63">
        <v>55</v>
      </c>
      <c r="E19" s="63">
        <v>30</v>
      </c>
      <c r="F19" s="63">
        <v>45</v>
      </c>
      <c r="G19" s="63">
        <v>45</v>
      </c>
      <c r="H19" s="63">
        <v>70</v>
      </c>
      <c r="J19" s="63">
        <v>30000</v>
      </c>
      <c r="L19" s="35">
        <v>500</v>
      </c>
    </row>
    <row r="20" spans="3:12" ht="12">
      <c r="C20" s="1" t="s">
        <v>356</v>
      </c>
      <c r="D20" s="63">
        <v>70</v>
      </c>
      <c r="E20" s="63">
        <v>30</v>
      </c>
      <c r="F20" s="63">
        <v>50</v>
      </c>
      <c r="G20" s="63">
        <v>60</v>
      </c>
      <c r="H20" s="63">
        <v>55</v>
      </c>
      <c r="J20" s="63">
        <v>70000</v>
      </c>
      <c r="L20" s="35">
        <v>1000</v>
      </c>
    </row>
    <row r="21" ht="12">
      <c r="AA21" s="3"/>
    </row>
    <row r="22" spans="3:27" ht="12.75">
      <c r="C22" s="88" t="s">
        <v>359</v>
      </c>
      <c r="I22" s="1" t="s">
        <v>362</v>
      </c>
      <c r="K22" s="1" t="s">
        <v>362</v>
      </c>
      <c r="M22" s="1" t="s">
        <v>360</v>
      </c>
      <c r="AA22" s="3"/>
    </row>
    <row r="23" spans="3:14" ht="12.75">
      <c r="C23" s="88" t="s">
        <v>361</v>
      </c>
      <c r="D23" s="1" t="s">
        <v>297</v>
      </c>
      <c r="E23" s="1" t="s">
        <v>298</v>
      </c>
      <c r="F23" s="1" t="s">
        <v>299</v>
      </c>
      <c r="G23" s="1" t="s">
        <v>300</v>
      </c>
      <c r="H23" s="1" t="s">
        <v>301</v>
      </c>
      <c r="I23" s="1" t="s">
        <v>294</v>
      </c>
      <c r="K23" s="1" t="s">
        <v>295</v>
      </c>
      <c r="M23" s="1" t="s">
        <v>211</v>
      </c>
      <c r="N23" s="1" t="s">
        <v>363</v>
      </c>
    </row>
    <row r="24" spans="3:14" ht="12">
      <c r="C24" s="1" t="s">
        <v>354</v>
      </c>
      <c r="D24" s="171">
        <v>200</v>
      </c>
      <c r="E24" s="172">
        <v>0</v>
      </c>
      <c r="F24" s="172">
        <v>0</v>
      </c>
      <c r="G24" s="172">
        <v>150</v>
      </c>
      <c r="H24" s="173">
        <v>175</v>
      </c>
      <c r="I24" s="174">
        <f>SUM(D24:H24)</f>
        <v>525</v>
      </c>
      <c r="J24" s="1" t="s">
        <v>269</v>
      </c>
      <c r="K24" s="174">
        <f>D13</f>
        <v>525</v>
      </c>
      <c r="L24" s="1" t="s">
        <v>269</v>
      </c>
      <c r="M24" s="174">
        <f>N24*L18</f>
        <v>700</v>
      </c>
      <c r="N24" s="175">
        <v>1</v>
      </c>
    </row>
    <row r="25" spans="3:14" ht="12">
      <c r="C25" s="1" t="s">
        <v>355</v>
      </c>
      <c r="D25" s="177">
        <v>0</v>
      </c>
      <c r="E25" s="178">
        <v>225</v>
      </c>
      <c r="F25" s="178">
        <v>100</v>
      </c>
      <c r="G25" s="178">
        <v>0</v>
      </c>
      <c r="H25" s="179">
        <v>0</v>
      </c>
      <c r="I25" s="174">
        <f>SUM(D25:H25)</f>
        <v>325</v>
      </c>
      <c r="J25" s="1" t="s">
        <v>269</v>
      </c>
      <c r="K25" s="174">
        <f>E13</f>
        <v>325</v>
      </c>
      <c r="L25" s="1" t="s">
        <v>269</v>
      </c>
      <c r="M25" s="174">
        <f>N25*L19</f>
        <v>500</v>
      </c>
      <c r="N25" s="180">
        <v>1</v>
      </c>
    </row>
    <row r="26" spans="3:14" ht="12">
      <c r="C26" s="1" t="s">
        <v>356</v>
      </c>
      <c r="D26" s="182">
        <v>0</v>
      </c>
      <c r="E26" s="183">
        <v>0</v>
      </c>
      <c r="F26" s="183">
        <v>0</v>
      </c>
      <c r="G26" s="183">
        <v>0</v>
      </c>
      <c r="H26" s="184">
        <v>0</v>
      </c>
      <c r="I26" s="174">
        <f>SUM(D26:H26)</f>
        <v>0</v>
      </c>
      <c r="J26" s="1" t="s">
        <v>269</v>
      </c>
      <c r="K26" s="174">
        <f>F13</f>
        <v>0</v>
      </c>
      <c r="L26" s="1" t="s">
        <v>269</v>
      </c>
      <c r="M26" s="174">
        <f>N26*L20</f>
        <v>0</v>
      </c>
      <c r="N26" s="185">
        <v>0</v>
      </c>
    </row>
    <row r="27" spans="3:8" ht="12">
      <c r="C27" s="1" t="s">
        <v>291</v>
      </c>
      <c r="D27" s="174">
        <f>SUM(D24:D26)</f>
        <v>200</v>
      </c>
      <c r="E27" s="174">
        <f>SUM(E24:E26)</f>
        <v>225</v>
      </c>
      <c r="F27" s="174">
        <f>SUM(F24:F26)</f>
        <v>100</v>
      </c>
      <c r="G27" s="174">
        <f>SUM(G24:G26)</f>
        <v>150</v>
      </c>
      <c r="H27" s="174">
        <f>SUM(H24:H26)</f>
        <v>175</v>
      </c>
    </row>
    <row r="28" spans="4:8" ht="12">
      <c r="D28" s="1" t="s">
        <v>268</v>
      </c>
      <c r="E28" s="1" t="s">
        <v>268</v>
      </c>
      <c r="F28" s="1" t="s">
        <v>268</v>
      </c>
      <c r="G28" s="1" t="s">
        <v>268</v>
      </c>
      <c r="H28" s="1" t="s">
        <v>268</v>
      </c>
    </row>
    <row r="29" spans="3:8" ht="12">
      <c r="C29" s="1" t="s">
        <v>264</v>
      </c>
      <c r="D29" s="35">
        <v>200</v>
      </c>
      <c r="E29" s="35">
        <v>225</v>
      </c>
      <c r="F29" s="35">
        <v>100</v>
      </c>
      <c r="G29" s="35">
        <v>150</v>
      </c>
      <c r="H29" s="35">
        <v>175</v>
      </c>
    </row>
  </sheetData>
  <printOptions gridLines="1" headings="1"/>
  <pageMargins left="0.75" right="0.75" top="1" bottom="1" header="0.5" footer="0.5"/>
  <pageSetup fitToHeight="1" fitToWidth="1" orientation="portrait" paperSize="9" scale="6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A1" sqref="A1"/>
    </sheetView>
  </sheetViews>
  <sheetFormatPr defaultColWidth="9.00390625" defaultRowHeight="12"/>
  <cols>
    <col min="1" max="1" width="2.875" style="189" customWidth="1"/>
    <col min="2" max="2" width="10.875" style="188" customWidth="1"/>
    <col min="3" max="3" width="12.125" style="188" bestFit="1" customWidth="1"/>
    <col min="4" max="4" width="16.00390625" style="188" bestFit="1" customWidth="1"/>
    <col min="5" max="5" width="10.875" style="188" customWidth="1"/>
    <col min="6" max="16384" width="10.875" style="189" customWidth="1"/>
  </cols>
  <sheetData>
    <row r="1" ht="15.75">
      <c r="A1" s="187" t="s">
        <v>302</v>
      </c>
    </row>
    <row r="3" spans="3:4" ht="12.75">
      <c r="C3" s="188" t="s">
        <v>303</v>
      </c>
      <c r="D3" s="188" t="s">
        <v>304</v>
      </c>
    </row>
    <row r="4" spans="3:4" ht="12.75">
      <c r="C4" s="188" t="s">
        <v>305</v>
      </c>
      <c r="D4" s="188" t="s">
        <v>305</v>
      </c>
    </row>
    <row r="5" spans="2:11" ht="12.75">
      <c r="B5" s="190" t="s">
        <v>442</v>
      </c>
      <c r="C5" s="190" t="s">
        <v>306</v>
      </c>
      <c r="D5" s="190" t="s">
        <v>307</v>
      </c>
      <c r="E5" s="190" t="s">
        <v>260</v>
      </c>
      <c r="F5" s="191"/>
      <c r="G5" s="191"/>
      <c r="H5" s="191"/>
      <c r="I5" s="191"/>
      <c r="J5" s="191"/>
      <c r="K5" s="191"/>
    </row>
    <row r="6" spans="2:11" ht="12.75">
      <c r="B6" s="192">
        <v>200</v>
      </c>
      <c r="C6" s="193">
        <v>150</v>
      </c>
      <c r="D6" s="193">
        <v>465</v>
      </c>
      <c r="E6" s="190">
        <f aca="true" t="shared" si="0" ref="E6:E12">SUM(C6:D6)</f>
        <v>615</v>
      </c>
      <c r="F6" s="191"/>
      <c r="G6" s="190"/>
      <c r="H6" s="191"/>
      <c r="I6" s="191"/>
      <c r="J6" s="191"/>
      <c r="K6" s="191"/>
    </row>
    <row r="7" spans="2:11" ht="12.75">
      <c r="B7" s="192">
        <v>300</v>
      </c>
      <c r="C7" s="193">
        <v>105</v>
      </c>
      <c r="D7" s="193">
        <v>210</v>
      </c>
      <c r="E7" s="190">
        <f t="shared" si="0"/>
        <v>315</v>
      </c>
      <c r="F7" s="191"/>
      <c r="G7" s="190"/>
      <c r="H7" s="191"/>
      <c r="I7" s="191"/>
      <c r="J7" s="191"/>
      <c r="K7" s="191"/>
    </row>
    <row r="8" spans="2:11" ht="12.75">
      <c r="B8" s="192">
        <v>400</v>
      </c>
      <c r="C8" s="193">
        <v>82</v>
      </c>
      <c r="D8" s="193">
        <v>127</v>
      </c>
      <c r="E8" s="190">
        <f t="shared" si="0"/>
        <v>209</v>
      </c>
      <c r="F8" s="191"/>
      <c r="G8" s="190"/>
      <c r="H8" s="191"/>
      <c r="I8" s="191"/>
      <c r="J8" s="191"/>
      <c r="K8" s="191"/>
    </row>
    <row r="9" spans="2:11" ht="12.75">
      <c r="B9" s="192">
        <v>500</v>
      </c>
      <c r="C9" s="193">
        <v>63</v>
      </c>
      <c r="D9" s="193">
        <v>82</v>
      </c>
      <c r="E9" s="190">
        <f t="shared" si="0"/>
        <v>145</v>
      </c>
      <c r="F9" s="191"/>
      <c r="G9" s="190"/>
      <c r="H9" s="191"/>
      <c r="I9" s="191"/>
      <c r="J9" s="191"/>
      <c r="K9" s="191"/>
    </row>
    <row r="10" spans="2:11" ht="12.75">
      <c r="B10" s="192">
        <v>600</v>
      </c>
      <c r="C10" s="193">
        <v>49</v>
      </c>
      <c r="D10" s="193">
        <v>60</v>
      </c>
      <c r="E10" s="190">
        <f t="shared" si="0"/>
        <v>109</v>
      </c>
      <c r="F10" s="191"/>
      <c r="G10" s="190"/>
      <c r="H10" s="191"/>
      <c r="I10" s="191"/>
      <c r="J10" s="191"/>
      <c r="K10" s="191"/>
    </row>
    <row r="11" spans="2:11" ht="12.75">
      <c r="B11" s="192">
        <v>700</v>
      </c>
      <c r="C11" s="193">
        <v>35</v>
      </c>
      <c r="D11" s="193">
        <v>45</v>
      </c>
      <c r="E11" s="190">
        <f t="shared" si="0"/>
        <v>80</v>
      </c>
      <c r="F11" s="191"/>
      <c r="G11" s="190"/>
      <c r="H11" s="191"/>
      <c r="I11" s="191"/>
      <c r="J11" s="191"/>
      <c r="K11" s="191"/>
    </row>
    <row r="12" spans="2:11" ht="12.75">
      <c r="B12" s="192">
        <v>800</v>
      </c>
      <c r="C12" s="193">
        <v>27</v>
      </c>
      <c r="D12" s="193">
        <v>37</v>
      </c>
      <c r="E12" s="190">
        <f t="shared" si="0"/>
        <v>64</v>
      </c>
      <c r="F12" s="191"/>
      <c r="G12" s="190"/>
      <c r="H12" s="191"/>
      <c r="I12" s="191"/>
      <c r="J12" s="191"/>
      <c r="K12" s="191"/>
    </row>
    <row r="13" spans="2:11" ht="12.75">
      <c r="B13" s="190"/>
      <c r="C13" s="190"/>
      <c r="D13" s="190"/>
      <c r="E13" s="190"/>
      <c r="F13" s="191"/>
      <c r="G13" s="191"/>
      <c r="H13" s="191"/>
      <c r="I13" s="191"/>
      <c r="J13" s="191"/>
      <c r="K13" s="191"/>
    </row>
    <row r="14" spans="2:11" ht="12.75">
      <c r="B14" s="190"/>
      <c r="C14" s="190"/>
      <c r="D14" s="190"/>
      <c r="E14" s="190"/>
      <c r="F14" s="191"/>
      <c r="G14" s="191"/>
      <c r="H14" s="191"/>
      <c r="I14" s="191"/>
      <c r="J14" s="191"/>
      <c r="K14" s="191"/>
    </row>
    <row r="15" spans="2:11" ht="12.75">
      <c r="B15" s="190"/>
      <c r="C15" s="190"/>
      <c r="D15" s="190"/>
      <c r="E15" s="190"/>
      <c r="F15" s="191"/>
      <c r="G15" s="191"/>
      <c r="H15" s="191"/>
      <c r="I15" s="191"/>
      <c r="J15" s="191"/>
      <c r="K15" s="191"/>
    </row>
    <row r="16" spans="2:11" ht="12.75">
      <c r="B16" s="190"/>
      <c r="C16" s="190"/>
      <c r="D16" s="190"/>
      <c r="E16" s="190"/>
      <c r="F16" s="191"/>
      <c r="G16" s="191"/>
      <c r="H16" s="191"/>
      <c r="I16" s="191"/>
      <c r="J16" s="191"/>
      <c r="K16" s="191"/>
    </row>
    <row r="17" spans="2:11" ht="12.75">
      <c r="B17" s="190"/>
      <c r="C17" s="190"/>
      <c r="D17" s="190"/>
      <c r="E17" s="190"/>
      <c r="F17" s="191"/>
      <c r="G17" s="191"/>
      <c r="H17" s="191"/>
      <c r="I17" s="191"/>
      <c r="J17" s="191"/>
      <c r="K17" s="191"/>
    </row>
    <row r="18" spans="2:11" ht="12.75">
      <c r="B18" s="190"/>
      <c r="C18" s="190"/>
      <c r="D18" s="190"/>
      <c r="E18" s="190"/>
      <c r="F18" s="191"/>
      <c r="G18" s="191"/>
      <c r="H18" s="191"/>
      <c r="I18" s="191"/>
      <c r="J18" s="191"/>
      <c r="K18" s="191"/>
    </row>
  </sheetData>
  <printOptions gridLines="1" headings="1"/>
  <pageMargins left="0.75" right="0.75" top="1" bottom="1" header="0.5" footer="0.5"/>
  <pageSetup fitToHeight="1" fitToWidth="1" orientation="portrait" paperSize="9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1" sqref="A1"/>
    </sheetView>
  </sheetViews>
  <sheetFormatPr defaultColWidth="9.00390625" defaultRowHeight="12"/>
  <cols>
    <col min="1" max="1" width="2.875" style="189" customWidth="1"/>
    <col min="2" max="2" width="13.375" style="188" customWidth="1"/>
    <col min="3" max="3" width="14.25390625" style="188" bestFit="1" customWidth="1"/>
    <col min="4" max="4" width="3.875" style="188" bestFit="1" customWidth="1"/>
    <col min="5" max="5" width="14.00390625" style="188" bestFit="1" customWidth="1"/>
    <col min="6" max="6" width="10.875" style="188" customWidth="1"/>
    <col min="7" max="16384" width="10.875" style="189" customWidth="1"/>
  </cols>
  <sheetData>
    <row r="1" ht="15.75">
      <c r="A1" s="187" t="s">
        <v>148</v>
      </c>
    </row>
    <row r="3" spans="2:8" ht="12.75">
      <c r="B3" s="194" t="s">
        <v>309</v>
      </c>
      <c r="C3" s="190"/>
      <c r="G3" s="188"/>
      <c r="H3" s="188"/>
    </row>
    <row r="4" spans="2:8" ht="12.75">
      <c r="B4" s="194"/>
      <c r="C4" s="190" t="s">
        <v>149</v>
      </c>
      <c r="G4" s="188"/>
      <c r="H4" s="188"/>
    </row>
    <row r="5" spans="2:9" ht="12.75">
      <c r="B5" s="195" t="s">
        <v>142</v>
      </c>
      <c r="C5" s="196">
        <v>3287816</v>
      </c>
      <c r="D5" s="197"/>
      <c r="E5" s="190"/>
      <c r="F5" s="190"/>
      <c r="G5" s="190"/>
      <c r="H5" s="198"/>
      <c r="I5" s="191"/>
    </row>
    <row r="6" spans="2:9" ht="12.75">
      <c r="B6" s="199" t="s">
        <v>143</v>
      </c>
      <c r="C6" s="193">
        <v>-1.62</v>
      </c>
      <c r="D6" s="190"/>
      <c r="E6" s="190"/>
      <c r="F6" s="190"/>
      <c r="G6" s="192"/>
      <c r="H6" s="198"/>
      <c r="I6" s="191"/>
    </row>
    <row r="7" spans="2:9" ht="12.75">
      <c r="B7" s="199"/>
      <c r="C7" s="190"/>
      <c r="D7" s="190"/>
      <c r="E7" s="190"/>
      <c r="F7" s="190"/>
      <c r="G7" s="192"/>
      <c r="H7" s="198"/>
      <c r="I7" s="191"/>
    </row>
    <row r="8" spans="2:9" ht="12.75">
      <c r="B8" s="195" t="s">
        <v>144</v>
      </c>
      <c r="C8" s="200">
        <v>30</v>
      </c>
      <c r="D8" s="192"/>
      <c r="E8" s="190"/>
      <c r="F8" s="190"/>
      <c r="G8" s="192"/>
      <c r="H8" s="198"/>
      <c r="I8" s="191"/>
    </row>
    <row r="9" spans="2:9" s="201" customFormat="1" ht="12.75">
      <c r="B9" s="195"/>
      <c r="C9" s="192"/>
      <c r="D9" s="192"/>
      <c r="E9" s="192"/>
      <c r="F9" s="190"/>
      <c r="G9" s="192"/>
      <c r="H9" s="198"/>
      <c r="I9" s="191"/>
    </row>
    <row r="10" spans="2:9" ht="12.75">
      <c r="B10" s="195" t="s">
        <v>145</v>
      </c>
      <c r="C10" s="202">
        <v>30000</v>
      </c>
      <c r="D10" s="190"/>
      <c r="E10" s="190"/>
      <c r="F10" s="190"/>
      <c r="G10" s="192"/>
      <c r="H10" s="198"/>
      <c r="I10" s="191"/>
    </row>
    <row r="11" spans="2:9" ht="12.75">
      <c r="B11" s="195"/>
      <c r="C11" s="190"/>
      <c r="D11" s="190"/>
      <c r="E11" s="190"/>
      <c r="F11" s="190"/>
      <c r="G11" s="192"/>
      <c r="H11" s="198"/>
      <c r="I11" s="191"/>
    </row>
    <row r="12" spans="2:9" ht="12.75">
      <c r="B12" s="195" t="s">
        <v>146</v>
      </c>
      <c r="C12" s="211">
        <v>311.6701540971948</v>
      </c>
      <c r="D12" s="190"/>
      <c r="E12" s="192"/>
      <c r="F12" s="190"/>
      <c r="G12" s="191"/>
      <c r="H12" s="198"/>
      <c r="I12" s="191"/>
    </row>
    <row r="13" spans="2:8" ht="12.75">
      <c r="B13" s="205"/>
      <c r="C13" s="189"/>
      <c r="E13" s="188" t="s">
        <v>211</v>
      </c>
      <c r="H13" s="207"/>
    </row>
    <row r="14" spans="2:8" ht="12.75">
      <c r="B14" s="205" t="s">
        <v>147</v>
      </c>
      <c r="C14" s="208">
        <f>C5*C12^C6</f>
        <v>300.0000002947941</v>
      </c>
      <c r="D14" s="188" t="s">
        <v>269</v>
      </c>
      <c r="E14" s="193">
        <v>300</v>
      </c>
      <c r="H14" s="207"/>
    </row>
    <row r="15" spans="2:8" ht="13.5" thickBot="1">
      <c r="B15" s="205"/>
      <c r="E15" s="206"/>
      <c r="H15" s="207"/>
    </row>
    <row r="16" spans="2:8" ht="13.5" thickBot="1">
      <c r="B16" s="205" t="s">
        <v>336</v>
      </c>
      <c r="C16" s="212">
        <f>(C12-C8)*C14-C10</f>
        <v>54501.04631219315</v>
      </c>
      <c r="E16" s="206"/>
      <c r="H16" s="207"/>
    </row>
    <row r="17" spans="7:8" ht="12.75">
      <c r="G17" s="206"/>
      <c r="H17" s="207"/>
    </row>
    <row r="18" spans="7:8" ht="12.75">
      <c r="G18" s="206"/>
      <c r="H18" s="207"/>
    </row>
    <row r="19" spans="7:8" ht="12.75">
      <c r="G19" s="206"/>
      <c r="H19" s="207"/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2.125" style="1" bestFit="1" customWidth="1"/>
    <col min="3" max="3" width="10.25390625" style="1" bestFit="1" customWidth="1"/>
    <col min="4" max="4" width="10.25390625" style="1" customWidth="1"/>
    <col min="5" max="5" width="10.00390625" style="1" bestFit="1" customWidth="1"/>
    <col min="6" max="6" width="10.00390625" style="1" customWidth="1"/>
    <col min="7" max="7" width="6.25390625" style="1" bestFit="1" customWidth="1"/>
    <col min="8" max="8" width="10.25390625" style="8" bestFit="1" customWidth="1"/>
    <col min="9" max="16384" width="10.875" style="1" customWidth="1"/>
  </cols>
  <sheetData>
    <row r="1" ht="15.75">
      <c r="A1" s="2" t="s">
        <v>177</v>
      </c>
    </row>
    <row r="3" spans="3:8" ht="12">
      <c r="C3" s="1" t="s">
        <v>369</v>
      </c>
      <c r="D3" s="1" t="s">
        <v>370</v>
      </c>
      <c r="E3" s="1" t="s">
        <v>371</v>
      </c>
      <c r="F3" s="5"/>
      <c r="G3" s="5"/>
      <c r="H3" s="9"/>
    </row>
    <row r="4" spans="2:8" ht="12">
      <c r="B4" s="3" t="s">
        <v>178</v>
      </c>
      <c r="C4" s="64">
        <v>500</v>
      </c>
      <c r="D4" s="64">
        <v>600</v>
      </c>
      <c r="E4" s="64">
        <v>950</v>
      </c>
      <c r="F4" s="11"/>
      <c r="G4" s="12"/>
      <c r="H4" s="13"/>
    </row>
    <row r="5" spans="3:8" ht="12">
      <c r="C5" s="12"/>
      <c r="D5" s="12"/>
      <c r="E5" s="12"/>
      <c r="F5" s="12" t="s">
        <v>260</v>
      </c>
      <c r="G5" s="12"/>
      <c r="H5" s="13" t="s">
        <v>260</v>
      </c>
    </row>
    <row r="6" spans="2:8" ht="12">
      <c r="B6" s="86" t="s">
        <v>366</v>
      </c>
      <c r="C6" s="12"/>
      <c r="D6" s="12" t="s">
        <v>373</v>
      </c>
      <c r="E6" s="12"/>
      <c r="F6" s="12" t="s">
        <v>372</v>
      </c>
      <c r="G6" s="12"/>
      <c r="H6" s="13" t="s">
        <v>229</v>
      </c>
    </row>
    <row r="7" spans="2:8" ht="12">
      <c r="B7" s="3" t="s">
        <v>374</v>
      </c>
      <c r="C7" s="66">
        <v>1</v>
      </c>
      <c r="D7" s="66">
        <v>1</v>
      </c>
      <c r="E7" s="66">
        <v>1</v>
      </c>
      <c r="F7" s="16">
        <f>SUMPRODUCT(C7:E7,$C$12:$E$12)</f>
        <v>120.00000000027103</v>
      </c>
      <c r="G7" s="17" t="s">
        <v>269</v>
      </c>
      <c r="H7" s="18">
        <v>120</v>
      </c>
    </row>
    <row r="8" spans="2:8" ht="12">
      <c r="B8" s="3" t="s">
        <v>368</v>
      </c>
      <c r="C8" s="66">
        <v>50</v>
      </c>
      <c r="D8" s="66">
        <v>60</v>
      </c>
      <c r="E8" s="66">
        <v>105</v>
      </c>
      <c r="F8" s="16">
        <f>SUMPRODUCT(C8:E8,$C$12:$E$12)</f>
        <v>6400.000000040611</v>
      </c>
      <c r="G8" s="17" t="s">
        <v>269</v>
      </c>
      <c r="H8" s="18">
        <v>6500</v>
      </c>
    </row>
    <row r="9" spans="2:8" ht="12">
      <c r="B9" s="3" t="s">
        <v>367</v>
      </c>
      <c r="C9" s="66">
        <v>1.5</v>
      </c>
      <c r="D9" s="66">
        <v>2</v>
      </c>
      <c r="E9" s="66">
        <v>4</v>
      </c>
      <c r="F9" s="16">
        <f>SUMPRODUCT(C9:E9,$C$12:$E$12)</f>
        <v>200.00000000175953</v>
      </c>
      <c r="G9" s="17" t="s">
        <v>269</v>
      </c>
      <c r="H9" s="18">
        <v>200</v>
      </c>
    </row>
    <row r="10" spans="2:8" s="7" customFormat="1" ht="12">
      <c r="B10" s="6"/>
      <c r="C10" s="19"/>
      <c r="D10" s="19"/>
      <c r="E10" s="19"/>
      <c r="F10" s="16"/>
      <c r="G10" s="17"/>
      <c r="H10" s="20"/>
    </row>
    <row r="11" spans="2:8" ht="12.75" thickBot="1">
      <c r="B11" s="3"/>
      <c r="F11" s="5"/>
      <c r="G11" s="5"/>
      <c r="H11" s="9" t="s">
        <v>365</v>
      </c>
    </row>
    <row r="12" spans="2:8" ht="12.75" thickBot="1">
      <c r="B12" s="3" t="s">
        <v>375</v>
      </c>
      <c r="C12" s="21">
        <v>79.99999999756504</v>
      </c>
      <c r="D12" s="85">
        <v>40.00000000270599</v>
      </c>
      <c r="E12" s="22">
        <v>0</v>
      </c>
      <c r="F12" s="5"/>
      <c r="G12" s="5"/>
      <c r="H12" s="23">
        <f>SUMPRODUCT(C4:E4,C12:E12)</f>
        <v>64000.000000406115</v>
      </c>
    </row>
    <row r="13" spans="2:8" ht="12">
      <c r="B13" s="3"/>
      <c r="C13" s="4"/>
      <c r="D13" s="4"/>
      <c r="F13" s="5"/>
      <c r="G13" s="5"/>
      <c r="H13" s="9"/>
    </row>
    <row r="14" spans="2:8" ht="12">
      <c r="B14" s="5"/>
      <c r="C14" s="5"/>
      <c r="D14" s="5"/>
      <c r="E14" s="5"/>
      <c r="F14" s="11"/>
      <c r="G14" s="27"/>
      <c r="H14" s="9"/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1" sqref="A1"/>
    </sheetView>
  </sheetViews>
  <sheetFormatPr defaultColWidth="9.00390625" defaultRowHeight="12"/>
  <cols>
    <col min="1" max="1" width="2.875" style="189" customWidth="1"/>
    <col min="2" max="2" width="13.375" style="188" customWidth="1"/>
    <col min="3" max="3" width="11.875" style="188" bestFit="1" customWidth="1"/>
    <col min="4" max="4" width="14.25390625" style="188" customWidth="1"/>
    <col min="5" max="5" width="10.75390625" style="188" customWidth="1"/>
    <col min="6" max="6" width="3.125" style="188" bestFit="1" customWidth="1"/>
    <col min="7" max="7" width="8.00390625" style="189" bestFit="1" customWidth="1"/>
    <col min="8" max="16384" width="10.875" style="189" customWidth="1"/>
  </cols>
  <sheetData>
    <row r="1" ht="15.75">
      <c r="A1" s="187" t="s">
        <v>308</v>
      </c>
    </row>
    <row r="3" ht="12.75">
      <c r="B3" s="194" t="s">
        <v>309</v>
      </c>
    </row>
    <row r="4" spans="2:8" ht="12.75">
      <c r="B4" s="189"/>
      <c r="C4" s="190" t="s">
        <v>310</v>
      </c>
      <c r="D4" s="188" t="s">
        <v>311</v>
      </c>
      <c r="G4" s="188"/>
      <c r="H4" s="188"/>
    </row>
    <row r="5" spans="2:10" ht="12.75">
      <c r="B5" s="195" t="s">
        <v>142</v>
      </c>
      <c r="C5" s="196">
        <v>102922</v>
      </c>
      <c r="D5" s="196">
        <v>7490107</v>
      </c>
      <c r="E5" s="197"/>
      <c r="F5" s="190"/>
      <c r="G5" s="190"/>
      <c r="H5" s="198"/>
      <c r="I5" s="191"/>
      <c r="J5" s="191"/>
    </row>
    <row r="6" spans="2:10" ht="12.75">
      <c r="B6" s="199" t="s">
        <v>143</v>
      </c>
      <c r="C6" s="193">
        <v>-1.21</v>
      </c>
      <c r="D6" s="193">
        <v>-1.83</v>
      </c>
      <c r="E6" s="190"/>
      <c r="F6" s="190"/>
      <c r="G6" s="192"/>
      <c r="H6" s="198"/>
      <c r="I6" s="191"/>
      <c r="J6" s="191"/>
    </row>
    <row r="7" spans="2:10" ht="12.75">
      <c r="B7" s="199"/>
      <c r="C7" s="190"/>
      <c r="D7" s="190"/>
      <c r="E7" s="190"/>
      <c r="F7" s="190"/>
      <c r="G7" s="192"/>
      <c r="H7" s="198"/>
      <c r="I7" s="191"/>
      <c r="J7" s="191"/>
    </row>
    <row r="8" spans="2:10" ht="12.75">
      <c r="B8" s="195" t="s">
        <v>144</v>
      </c>
      <c r="C8" s="200">
        <v>30</v>
      </c>
      <c r="D8" s="200">
        <v>30</v>
      </c>
      <c r="E8" s="192"/>
      <c r="F8" s="190"/>
      <c r="G8" s="192"/>
      <c r="H8" s="198"/>
      <c r="I8" s="191"/>
      <c r="J8" s="191"/>
    </row>
    <row r="9" spans="2:10" s="201" customFormat="1" ht="12.75">
      <c r="B9" s="195"/>
      <c r="C9" s="192"/>
      <c r="D9" s="192"/>
      <c r="E9" s="192"/>
      <c r="F9" s="190"/>
      <c r="G9" s="192"/>
      <c r="H9" s="198"/>
      <c r="I9" s="191"/>
      <c r="J9" s="191"/>
    </row>
    <row r="10" spans="2:10" ht="12.75">
      <c r="B10" s="195" t="s">
        <v>145</v>
      </c>
      <c r="C10" s="202">
        <v>30000</v>
      </c>
      <c r="D10" s="190"/>
      <c r="E10" s="190"/>
      <c r="F10" s="190"/>
      <c r="G10" s="192"/>
      <c r="H10" s="198"/>
      <c r="I10" s="191"/>
      <c r="J10" s="191"/>
    </row>
    <row r="11" spans="2:10" ht="12.75">
      <c r="B11" s="195"/>
      <c r="C11" s="190"/>
      <c r="D11" s="190"/>
      <c r="E11" s="190"/>
      <c r="F11" s="190"/>
      <c r="G11" s="192"/>
      <c r="H11" s="198"/>
      <c r="I11" s="191"/>
      <c r="J11" s="191"/>
    </row>
    <row r="12" spans="2:10" ht="12.75">
      <c r="B12" s="195" t="s">
        <v>146</v>
      </c>
      <c r="C12" s="203">
        <v>709.5935390501458</v>
      </c>
      <c r="D12" s="204">
        <v>271.4921541781685</v>
      </c>
      <c r="E12" s="190"/>
      <c r="F12" s="190"/>
      <c r="G12" s="192"/>
      <c r="H12" s="198"/>
      <c r="I12" s="191"/>
      <c r="J12" s="191"/>
    </row>
    <row r="13" spans="2:8" ht="12.75">
      <c r="B13" s="205"/>
      <c r="E13" s="188" t="s">
        <v>260</v>
      </c>
      <c r="G13" s="188" t="s">
        <v>211</v>
      </c>
      <c r="H13" s="207"/>
    </row>
    <row r="14" spans="2:8" ht="12.75">
      <c r="B14" s="205" t="s">
        <v>147</v>
      </c>
      <c r="C14" s="208">
        <f>C5*C12^C6</f>
        <v>36.5415140112039</v>
      </c>
      <c r="D14" s="208">
        <f>D5*D12^D6</f>
        <v>263.4584868096274</v>
      </c>
      <c r="E14" s="209">
        <f>SUM(C14:D14)</f>
        <v>300.0000008208313</v>
      </c>
      <c r="F14" s="188" t="s">
        <v>269</v>
      </c>
      <c r="G14" s="193">
        <v>300</v>
      </c>
      <c r="H14" s="207"/>
    </row>
    <row r="15" spans="2:8" ht="13.5" thickBot="1">
      <c r="B15" s="205"/>
      <c r="G15" s="206"/>
      <c r="H15" s="207"/>
    </row>
    <row r="16" spans="2:8" ht="13.5" thickBot="1">
      <c r="B16" s="205" t="s">
        <v>336</v>
      </c>
      <c r="C16" s="210">
        <f>(C12-C8)*C14+(D12-D8)*D14-C10</f>
        <v>58456.53434530206</v>
      </c>
      <c r="G16" s="206"/>
      <c r="H16" s="207"/>
    </row>
    <row r="17" spans="7:8" ht="12.75">
      <c r="G17" s="206"/>
      <c r="H17" s="207"/>
    </row>
    <row r="18" spans="7:8" ht="12.75">
      <c r="G18" s="206"/>
      <c r="H18" s="207"/>
    </row>
    <row r="19" spans="7:8" ht="12.75">
      <c r="G19" s="206"/>
      <c r="H19" s="207"/>
    </row>
  </sheetData>
  <printOptions gridLines="1" headings="1"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7"/>
  <sheetViews>
    <sheetView workbookViewId="0" topLeftCell="A1">
      <selection activeCell="A1" sqref="A1"/>
    </sheetView>
  </sheetViews>
  <sheetFormatPr defaultColWidth="9.00390625" defaultRowHeight="12"/>
  <cols>
    <col min="1" max="1" width="12.375" style="213" customWidth="1"/>
    <col min="2" max="2" width="2.00390625" style="213" customWidth="1"/>
    <col min="3" max="3" width="3.125" style="213" customWidth="1"/>
    <col min="4" max="5" width="12.375" style="213" customWidth="1"/>
    <col min="6" max="6" width="2.00390625" style="213" customWidth="1"/>
    <col min="7" max="7" width="3.125" style="213" customWidth="1"/>
    <col min="8" max="9" width="12.375" style="213" customWidth="1"/>
    <col min="10" max="10" width="2.00390625" style="213" customWidth="1"/>
    <col min="11" max="16384" width="12.375" style="213" customWidth="1"/>
  </cols>
  <sheetData>
    <row r="1" ht="12.75">
      <c r="H1" s="213">
        <v>0.6</v>
      </c>
    </row>
    <row r="2" ht="12.75">
      <c r="H2" s="213" t="s">
        <v>454</v>
      </c>
    </row>
    <row r="3" ht="12.75">
      <c r="K3" s="213">
        <f>SUM(H4,D6)</f>
        <v>4</v>
      </c>
    </row>
    <row r="4" spans="4:9" ht="12.75">
      <c r="D4" s="213" t="s">
        <v>455</v>
      </c>
      <c r="H4" s="213">
        <v>6</v>
      </c>
      <c r="I4" s="213">
        <f>K3</f>
        <v>4</v>
      </c>
    </row>
    <row r="5" ht="12.75"/>
    <row r="6" spans="4:8" ht="12.75">
      <c r="D6" s="213">
        <v>-2</v>
      </c>
      <c r="E6" s="213">
        <f>IF(ABS(1-SUM(H1,H6))&lt;=0.00001,SUM(H1*I4,H6*I9),NA())</f>
        <v>4.4</v>
      </c>
      <c r="H6" s="213">
        <v>0.4</v>
      </c>
    </row>
    <row r="7" ht="12.75">
      <c r="H7" s="213" t="s">
        <v>456</v>
      </c>
    </row>
    <row r="8" ht="12.75">
      <c r="K8" s="213">
        <f>SUM(H9,D6)</f>
        <v>5</v>
      </c>
    </row>
    <row r="9" spans="1:9" ht="12.75">
      <c r="A9" s="214"/>
      <c r="H9" s="213">
        <v>7</v>
      </c>
      <c r="I9" s="213">
        <f>K8</f>
        <v>5</v>
      </c>
    </row>
    <row r="10" ht="12.75">
      <c r="B10" s="213">
        <f>IF(A11=E6,1,IF(A11=E16,2))</f>
        <v>1</v>
      </c>
    </row>
    <row r="11" spans="1:8" ht="12.75">
      <c r="A11" s="213">
        <f>MAX(E6,E16)</f>
        <v>4.4</v>
      </c>
      <c r="H11" s="213">
        <v>0.6</v>
      </c>
    </row>
    <row r="12" ht="12.75">
      <c r="H12" s="213" t="s">
        <v>454</v>
      </c>
    </row>
    <row r="13" ht="12.75">
      <c r="K13" s="213">
        <f>SUM(H14,D16)</f>
        <v>6</v>
      </c>
    </row>
    <row r="14" spans="4:9" ht="12.75">
      <c r="D14" s="213" t="s">
        <v>457</v>
      </c>
      <c r="H14" s="213">
        <v>10</v>
      </c>
      <c r="I14" s="213">
        <f>K13</f>
        <v>6</v>
      </c>
    </row>
    <row r="15" ht="12.75"/>
    <row r="16" spans="4:8" ht="12.75">
      <c r="D16" s="213">
        <v>-4</v>
      </c>
      <c r="E16" s="213">
        <f>IF(ABS(1-SUM(H11,H16))&lt;=0.00001,SUM(H11*I14,H16*I19),NA())</f>
        <v>3.5999999999999996</v>
      </c>
      <c r="H16" s="213">
        <v>0.4</v>
      </c>
    </row>
    <row r="17" ht="12.75">
      <c r="H17" s="213" t="s">
        <v>456</v>
      </c>
    </row>
    <row r="18" ht="12.75">
      <c r="K18" s="213">
        <f>SUM(H19,D16)</f>
        <v>0</v>
      </c>
    </row>
    <row r="19" spans="8:9" ht="12.75">
      <c r="H19" s="213">
        <v>4</v>
      </c>
      <c r="I19" s="213">
        <f>K18</f>
        <v>0</v>
      </c>
    </row>
    <row r="1000" spans="190:204" ht="12.75">
      <c r="GH1000" s="213" t="s">
        <v>458</v>
      </c>
      <c r="GI1000" s="213" t="s">
        <v>431</v>
      </c>
      <c r="GJ1000" s="213" t="s">
        <v>433</v>
      </c>
      <c r="GK1000" s="213" t="s">
        <v>459</v>
      </c>
      <c r="GL1000" s="213" t="s">
        <v>460</v>
      </c>
      <c r="GM1000" s="213" t="s">
        <v>461</v>
      </c>
      <c r="GN1000" s="213" t="s">
        <v>462</v>
      </c>
      <c r="GO1000" s="213" t="s">
        <v>463</v>
      </c>
      <c r="GP1000" s="213" t="s">
        <v>464</v>
      </c>
      <c r="GQ1000" s="213" t="s">
        <v>465</v>
      </c>
      <c r="GR1000" s="213" t="s">
        <v>466</v>
      </c>
      <c r="GS1000" s="213" t="s">
        <v>467</v>
      </c>
      <c r="GT1000" s="213" t="s">
        <v>468</v>
      </c>
      <c r="GU1000" s="213" t="s">
        <v>469</v>
      </c>
      <c r="GV1000" s="213" t="s">
        <v>470</v>
      </c>
    </row>
    <row r="1001" spans="189:204" ht="12.75">
      <c r="GG1001" s="213">
        <v>0</v>
      </c>
      <c r="GH1001" s="213">
        <v>0</v>
      </c>
      <c r="GI1001" s="213" t="s">
        <v>471</v>
      </c>
      <c r="GJ1001" s="213">
        <v>0</v>
      </c>
      <c r="GK1001" s="213">
        <v>0</v>
      </c>
      <c r="GL1001" s="213">
        <v>0</v>
      </c>
      <c r="GM1001" s="213" t="s">
        <v>472</v>
      </c>
      <c r="GN1001" s="213">
        <v>2</v>
      </c>
      <c r="GO1001" s="213">
        <v>1</v>
      </c>
      <c r="GP1001" s="213">
        <v>2</v>
      </c>
      <c r="GQ1001" s="213">
        <v>0</v>
      </c>
      <c r="GR1001" s="213">
        <v>0</v>
      </c>
      <c r="GS1001" s="213">
        <v>0</v>
      </c>
      <c r="GT1001" s="213">
        <v>9</v>
      </c>
      <c r="GU1001" s="213">
        <v>1</v>
      </c>
      <c r="GV1001" s="213" t="b">
        <v>1</v>
      </c>
    </row>
    <row r="1002" spans="189:204" ht="12.75">
      <c r="GG1002" s="213">
        <v>2</v>
      </c>
      <c r="GH1002" s="213">
        <v>1</v>
      </c>
      <c r="GK1002" s="213">
        <v>0</v>
      </c>
      <c r="GL1002" s="213">
        <v>0</v>
      </c>
      <c r="GM1002" s="213" t="s">
        <v>473</v>
      </c>
      <c r="GN1002" s="213">
        <v>2</v>
      </c>
      <c r="GO1002" s="213">
        <v>3</v>
      </c>
      <c r="GP1002" s="213">
        <v>4</v>
      </c>
      <c r="GQ1002" s="213">
        <v>0</v>
      </c>
      <c r="GR1002" s="213">
        <v>0</v>
      </c>
      <c r="GS1002" s="213">
        <v>0</v>
      </c>
      <c r="GT1002" s="213">
        <v>4</v>
      </c>
      <c r="GU1002" s="213">
        <v>5</v>
      </c>
      <c r="GV1002" s="213" t="b">
        <v>1</v>
      </c>
    </row>
    <row r="1003" spans="189:204" ht="12.75">
      <c r="GG1003" s="213">
        <v>0</v>
      </c>
      <c r="GH1003" s="213">
        <v>2</v>
      </c>
      <c r="GK1003" s="213">
        <v>0</v>
      </c>
      <c r="GL1003" s="213">
        <v>0</v>
      </c>
      <c r="GM1003" s="213" t="s">
        <v>473</v>
      </c>
      <c r="GN1003" s="213">
        <v>2</v>
      </c>
      <c r="GO1003" s="213">
        <v>5</v>
      </c>
      <c r="GP1003" s="213">
        <v>6</v>
      </c>
      <c r="GQ1003" s="213">
        <v>0</v>
      </c>
      <c r="GR1003" s="213">
        <v>0</v>
      </c>
      <c r="GS1003" s="213">
        <v>0</v>
      </c>
      <c r="GT1003" s="213">
        <v>14</v>
      </c>
      <c r="GU1003" s="213">
        <v>5</v>
      </c>
      <c r="GV1003" s="213" t="b">
        <v>1</v>
      </c>
    </row>
    <row r="1004" spans="189:204" ht="12.75">
      <c r="GG1004" s="213">
        <v>5</v>
      </c>
      <c r="GH1004" s="213">
        <v>3</v>
      </c>
      <c r="GL1004" s="213">
        <v>1</v>
      </c>
      <c r="GM1004" s="213" t="s">
        <v>474</v>
      </c>
      <c r="GN1004" s="213">
        <v>0</v>
      </c>
      <c r="GO1004" s="213">
        <v>0</v>
      </c>
      <c r="GP1004" s="213">
        <v>0</v>
      </c>
      <c r="GQ1004" s="213">
        <v>0</v>
      </c>
      <c r="GR1004" s="213">
        <v>0</v>
      </c>
      <c r="GS1004" s="213">
        <v>0</v>
      </c>
      <c r="GT1004" s="213">
        <v>2</v>
      </c>
      <c r="GU1004" s="213">
        <v>9</v>
      </c>
      <c r="GV1004" s="213" t="b">
        <v>1</v>
      </c>
    </row>
    <row r="1005" spans="189:204" ht="12.75">
      <c r="GG1005" s="213">
        <v>6</v>
      </c>
      <c r="GH1005" s="213">
        <v>4</v>
      </c>
      <c r="GL1005" s="213">
        <v>1</v>
      </c>
      <c r="GM1005" s="213" t="s">
        <v>474</v>
      </c>
      <c r="GN1005" s="213">
        <v>0</v>
      </c>
      <c r="GO1005" s="213">
        <v>0</v>
      </c>
      <c r="GP1005" s="213">
        <v>0</v>
      </c>
      <c r="GQ1005" s="213">
        <v>0</v>
      </c>
      <c r="GR1005" s="213">
        <v>0</v>
      </c>
      <c r="GS1005" s="213">
        <v>0</v>
      </c>
      <c r="GT1005" s="213">
        <v>7</v>
      </c>
      <c r="GU1005" s="213">
        <v>9</v>
      </c>
      <c r="GV1005" s="213" t="b">
        <v>1</v>
      </c>
    </row>
    <row r="1006" spans="190:204" ht="12.75">
      <c r="GH1006" s="213">
        <v>5</v>
      </c>
      <c r="GL1006" s="213">
        <v>2</v>
      </c>
      <c r="GM1006" s="213" t="s">
        <v>474</v>
      </c>
      <c r="GN1006" s="213">
        <v>0</v>
      </c>
      <c r="GO1006" s="213">
        <v>0</v>
      </c>
      <c r="GP1006" s="213">
        <v>0</v>
      </c>
      <c r="GQ1006" s="213">
        <v>0</v>
      </c>
      <c r="GR1006" s="213">
        <v>0</v>
      </c>
      <c r="GS1006" s="213">
        <v>0</v>
      </c>
      <c r="GT1006" s="213">
        <v>12</v>
      </c>
      <c r="GU1006" s="213">
        <v>9</v>
      </c>
      <c r="GV1006" s="213" t="b">
        <v>1</v>
      </c>
    </row>
    <row r="1007" spans="190:204" ht="12.75">
      <c r="GH1007" s="213">
        <v>6</v>
      </c>
      <c r="GL1007" s="213">
        <v>2</v>
      </c>
      <c r="GM1007" s="213" t="s">
        <v>474</v>
      </c>
      <c r="GN1007" s="213">
        <v>0</v>
      </c>
      <c r="GO1007" s="213">
        <v>0</v>
      </c>
      <c r="GP1007" s="213">
        <v>0</v>
      </c>
      <c r="GQ1007" s="213">
        <v>0</v>
      </c>
      <c r="GR1007" s="213">
        <v>0</v>
      </c>
      <c r="GS1007" s="213">
        <v>0</v>
      </c>
      <c r="GT1007" s="213">
        <v>17</v>
      </c>
      <c r="GU1007" s="213">
        <v>9</v>
      </c>
      <c r="GV1007" s="213" t="b">
        <v>1</v>
      </c>
    </row>
  </sheetData>
  <printOptions/>
  <pageMargins left="0.75" right="0.75" top="1" bottom="1" header="0.5" footer="0.5"/>
  <pageSetup fitToHeight="1" fitToWidth="1" orientation="portrait" paperSize="9" scale="96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5"/>
  <sheetViews>
    <sheetView workbookViewId="0" topLeftCell="A1">
      <selection activeCell="A1" sqref="A1"/>
    </sheetView>
  </sheetViews>
  <sheetFormatPr defaultColWidth="9.00390625" defaultRowHeight="12"/>
  <cols>
    <col min="1" max="1" width="12.375" style="213" customWidth="1"/>
    <col min="2" max="2" width="2.00390625" style="213" customWidth="1"/>
    <col min="3" max="3" width="3.125" style="213" customWidth="1"/>
    <col min="4" max="5" width="12.375" style="213" customWidth="1"/>
    <col min="6" max="6" width="2.00390625" style="213" customWidth="1"/>
    <col min="7" max="7" width="3.125" style="213" customWidth="1"/>
    <col min="8" max="9" width="12.375" style="213" customWidth="1"/>
    <col min="10" max="10" width="2.00390625" style="213" customWidth="1"/>
    <col min="11" max="11" width="3.125" style="213" customWidth="1"/>
    <col min="12" max="13" width="12.375" style="213" customWidth="1"/>
    <col min="14" max="14" width="2.00390625" style="213" customWidth="1"/>
    <col min="15" max="16384" width="12.375" style="213" customWidth="1"/>
  </cols>
  <sheetData>
    <row r="1" ht="12.75">
      <c r="L1" s="213">
        <v>0.84</v>
      </c>
    </row>
    <row r="2" ht="12.75">
      <c r="L2" s="213" t="s">
        <v>454</v>
      </c>
    </row>
    <row r="3" ht="12.75">
      <c r="O3" s="213">
        <f>SUM(L4,H6,D11)</f>
        <v>4</v>
      </c>
    </row>
    <row r="4" spans="8:13" ht="12.75">
      <c r="H4" s="213" t="s">
        <v>455</v>
      </c>
      <c r="L4" s="213">
        <v>6</v>
      </c>
      <c r="M4" s="213">
        <f>O3</f>
        <v>4</v>
      </c>
    </row>
    <row r="5" ht="12.75"/>
    <row r="6" spans="8:12" ht="12.75">
      <c r="H6" s="213">
        <v>-2</v>
      </c>
      <c r="I6" s="213">
        <f>IF(ABS(1-SUM(L1,L6))&lt;=0.00001,SUM(L1*M4,L6*M9),NA())</f>
        <v>4.16</v>
      </c>
      <c r="L6" s="213">
        <v>0.16</v>
      </c>
    </row>
    <row r="7" ht="12.75">
      <c r="L7" s="213" t="s">
        <v>456</v>
      </c>
    </row>
    <row r="8" spans="4:15" ht="12.75">
      <c r="D8" s="213">
        <v>0.5</v>
      </c>
      <c r="O8" s="213">
        <f>SUM(L9,H6,D11)</f>
        <v>5</v>
      </c>
    </row>
    <row r="9" spans="4:13" ht="12.75">
      <c r="D9" s="213" t="s">
        <v>475</v>
      </c>
      <c r="L9" s="213">
        <v>7</v>
      </c>
      <c r="M9" s="213">
        <f>O8</f>
        <v>5</v>
      </c>
    </row>
    <row r="10" ht="12.75">
      <c r="F10" s="213">
        <f>IF(E11=I6,1,IF(E11=I16,2))</f>
        <v>2</v>
      </c>
    </row>
    <row r="11" spans="4:12" ht="12.75">
      <c r="D11" s="213">
        <v>0</v>
      </c>
      <c r="E11" s="213">
        <f>MAX(I6,I16)</f>
        <v>5.04</v>
      </c>
      <c r="L11" s="213">
        <v>0.84</v>
      </c>
    </row>
    <row r="12" ht="12.75">
      <c r="L12" s="213" t="s">
        <v>454</v>
      </c>
    </row>
    <row r="13" ht="12.75">
      <c r="O13" s="213">
        <f>SUM(L14,H16,D11)</f>
        <v>6</v>
      </c>
    </row>
    <row r="14" spans="8:13" ht="12.75">
      <c r="H14" s="213" t="s">
        <v>476</v>
      </c>
      <c r="L14" s="213">
        <v>10</v>
      </c>
      <c r="M14" s="213">
        <f>O13</f>
        <v>6</v>
      </c>
    </row>
    <row r="15" ht="12.75"/>
    <row r="16" spans="8:12" ht="12.75">
      <c r="H16" s="213">
        <v>-4</v>
      </c>
      <c r="I16" s="213">
        <f>IF(ABS(1-SUM(L11,L16))&lt;=0.00001,SUM(L11*M14,L16*M19),NA())</f>
        <v>5.04</v>
      </c>
      <c r="L16" s="213">
        <v>0.16</v>
      </c>
    </row>
    <row r="17" ht="12.75">
      <c r="L17" s="213" t="s">
        <v>456</v>
      </c>
    </row>
    <row r="18" ht="12.75">
      <c r="O18" s="213">
        <f>SUM(L19,H16,D11)</f>
        <v>0</v>
      </c>
    </row>
    <row r="19" spans="1:13" ht="12.75">
      <c r="A19" s="214"/>
      <c r="L19" s="213">
        <v>4</v>
      </c>
      <c r="M19" s="213">
        <f>O18</f>
        <v>0</v>
      </c>
    </row>
    <row r="20" ht="12.75"/>
    <row r="21" spans="1:12" ht="12.75">
      <c r="A21" s="213">
        <f>IF(ABS(1-SUM(D8,D28))&lt;=0.00001,SUM(D8*E11,D28*E31),NA())</f>
        <v>4.84</v>
      </c>
      <c r="L21" s="213">
        <v>0.36</v>
      </c>
    </row>
    <row r="22" ht="12.75">
      <c r="L22" s="213" t="s">
        <v>454</v>
      </c>
    </row>
    <row r="23" ht="12.75">
      <c r="O23" s="213">
        <f>SUM(L24,H26,D31)</f>
        <v>4</v>
      </c>
    </row>
    <row r="24" spans="8:13" ht="12.75">
      <c r="H24" s="213" t="s">
        <v>455</v>
      </c>
      <c r="L24" s="213">
        <v>6</v>
      </c>
      <c r="M24" s="213">
        <f>O23</f>
        <v>4</v>
      </c>
    </row>
    <row r="25" ht="12.75"/>
    <row r="26" spans="8:12" ht="12.75">
      <c r="H26" s="213">
        <v>-2</v>
      </c>
      <c r="I26" s="213">
        <f>IF(ABS(1-SUM(L21,L26))&lt;=0.00001,SUM(L21*M24,L26*M29),NA())</f>
        <v>4.640000000000001</v>
      </c>
      <c r="L26" s="213">
        <v>0.64</v>
      </c>
    </row>
    <row r="27" ht="12.75">
      <c r="L27" s="213" t="s">
        <v>456</v>
      </c>
    </row>
    <row r="28" spans="4:15" ht="12.75">
      <c r="D28" s="213">
        <v>0.5</v>
      </c>
      <c r="O28" s="213">
        <f>SUM(L29,H26,D31)</f>
        <v>5</v>
      </c>
    </row>
    <row r="29" spans="4:13" ht="12.75">
      <c r="D29" s="213" t="s">
        <v>477</v>
      </c>
      <c r="L29" s="213">
        <v>7</v>
      </c>
      <c r="M29" s="213">
        <f>O28</f>
        <v>5</v>
      </c>
    </row>
    <row r="30" ht="12.75">
      <c r="F30" s="213">
        <f>IF(E31=I26,1,IF(E31=I36,2))</f>
        <v>1</v>
      </c>
    </row>
    <row r="31" spans="4:12" ht="12.75">
      <c r="D31" s="213">
        <v>0</v>
      </c>
      <c r="E31" s="213">
        <f>MAX(I26,I36)</f>
        <v>4.640000000000001</v>
      </c>
      <c r="L31" s="213">
        <v>0.36</v>
      </c>
    </row>
    <row r="32" ht="12.75">
      <c r="L32" s="213" t="s">
        <v>454</v>
      </c>
    </row>
    <row r="33" ht="12.75">
      <c r="O33" s="213">
        <f>SUM(L34,H36,D31)</f>
        <v>6</v>
      </c>
    </row>
    <row r="34" spans="8:13" ht="12.75">
      <c r="H34" s="213" t="s">
        <v>476</v>
      </c>
      <c r="L34" s="213">
        <v>10</v>
      </c>
      <c r="M34" s="213">
        <f>O33</f>
        <v>6</v>
      </c>
    </row>
    <row r="35" ht="12.75"/>
    <row r="36" spans="8:12" ht="12.75">
      <c r="H36" s="213">
        <v>-4</v>
      </c>
      <c r="I36" s="213">
        <f>IF(ABS(1-SUM(L31,L36))&lt;=0.00001,SUM(L31*M34,L36*M39),NA())</f>
        <v>2.16</v>
      </c>
      <c r="L36" s="213">
        <v>0.64</v>
      </c>
    </row>
    <row r="37" ht="12.75">
      <c r="L37" s="213" t="s">
        <v>456</v>
      </c>
    </row>
    <row r="38" ht="12.75">
      <c r="O38" s="213">
        <f>SUM(L39,H36,D31)</f>
        <v>0</v>
      </c>
    </row>
    <row r="39" spans="12:13" ht="12.75">
      <c r="L39" s="213">
        <v>4</v>
      </c>
      <c r="M39" s="213">
        <f>O38</f>
        <v>0</v>
      </c>
    </row>
    <row r="1000" spans="190:204" ht="12.75">
      <c r="GH1000" s="213" t="s">
        <v>458</v>
      </c>
      <c r="GI1000" s="213" t="s">
        <v>431</v>
      </c>
      <c r="GJ1000" s="213" t="s">
        <v>433</v>
      </c>
      <c r="GK1000" s="213" t="s">
        <v>459</v>
      </c>
      <c r="GL1000" s="213" t="s">
        <v>460</v>
      </c>
      <c r="GM1000" s="213" t="s">
        <v>461</v>
      </c>
      <c r="GN1000" s="213" t="s">
        <v>462</v>
      </c>
      <c r="GO1000" s="213" t="s">
        <v>463</v>
      </c>
      <c r="GP1000" s="213" t="s">
        <v>464</v>
      </c>
      <c r="GQ1000" s="213" t="s">
        <v>465</v>
      </c>
      <c r="GR1000" s="213" t="s">
        <v>466</v>
      </c>
      <c r="GS1000" s="213" t="s">
        <v>467</v>
      </c>
      <c r="GT1000" s="213" t="s">
        <v>468</v>
      </c>
      <c r="GU1000" s="213" t="s">
        <v>469</v>
      </c>
      <c r="GV1000" s="213" t="s">
        <v>470</v>
      </c>
    </row>
    <row r="1001" spans="189:204" ht="12.75">
      <c r="GG1001" s="213">
        <v>0</v>
      </c>
      <c r="GH1001" s="213">
        <v>0</v>
      </c>
      <c r="GI1001" s="213" t="s">
        <v>471</v>
      </c>
      <c r="GJ1001" s="213">
        <v>0</v>
      </c>
      <c r="GK1001" s="213">
        <v>0</v>
      </c>
      <c r="GL1001" s="213">
        <v>0</v>
      </c>
      <c r="GM1001" s="213" t="s">
        <v>473</v>
      </c>
      <c r="GN1001" s="213">
        <v>2</v>
      </c>
      <c r="GO1001" s="213">
        <v>1</v>
      </c>
      <c r="GP1001" s="213">
        <v>2</v>
      </c>
      <c r="GQ1001" s="213">
        <v>0</v>
      </c>
      <c r="GR1001" s="213">
        <v>0</v>
      </c>
      <c r="GS1001" s="213">
        <v>0</v>
      </c>
      <c r="GT1001" s="213">
        <v>19</v>
      </c>
      <c r="GU1001" s="213">
        <v>1</v>
      </c>
      <c r="GV1001" s="213" t="b">
        <v>1</v>
      </c>
    </row>
    <row r="1002" spans="189:204" ht="12.75">
      <c r="GG1002" s="213">
        <v>2</v>
      </c>
      <c r="GH1002" s="213">
        <v>1</v>
      </c>
      <c r="GL1002" s="213">
        <v>0</v>
      </c>
      <c r="GM1002" s="213" t="s">
        <v>472</v>
      </c>
      <c r="GN1002" s="213">
        <v>2</v>
      </c>
      <c r="GO1002" s="213">
        <v>3</v>
      </c>
      <c r="GP1002" s="213">
        <v>4</v>
      </c>
      <c r="GQ1002" s="213">
        <v>0</v>
      </c>
      <c r="GR1002" s="213">
        <v>0</v>
      </c>
      <c r="GS1002" s="213">
        <v>0</v>
      </c>
      <c r="GT1002" s="213">
        <v>9</v>
      </c>
      <c r="GU1002" s="213">
        <v>5</v>
      </c>
      <c r="GV1002" s="213" t="b">
        <v>1</v>
      </c>
    </row>
    <row r="1003" spans="189:204" ht="12.75">
      <c r="GG1003" s="213">
        <v>0</v>
      </c>
      <c r="GH1003" s="213">
        <v>2</v>
      </c>
      <c r="GL1003" s="213">
        <v>0</v>
      </c>
      <c r="GM1003" s="213" t="s">
        <v>472</v>
      </c>
      <c r="GN1003" s="213">
        <v>2</v>
      </c>
      <c r="GO1003" s="213">
        <v>9</v>
      </c>
      <c r="GP1003" s="213">
        <v>10</v>
      </c>
      <c r="GQ1003" s="213">
        <v>0</v>
      </c>
      <c r="GR1003" s="213">
        <v>0</v>
      </c>
      <c r="GS1003" s="213">
        <v>0</v>
      </c>
      <c r="GT1003" s="213">
        <v>29</v>
      </c>
      <c r="GU1003" s="213">
        <v>5</v>
      </c>
      <c r="GV1003" s="213" t="b">
        <v>1</v>
      </c>
    </row>
    <row r="1004" spans="189:204" ht="12.75">
      <c r="GG1004" s="213">
        <v>9</v>
      </c>
      <c r="GH1004" s="213">
        <v>3</v>
      </c>
      <c r="GK1004" s="213">
        <v>0</v>
      </c>
      <c r="GL1004" s="213">
        <v>1</v>
      </c>
      <c r="GM1004" s="213" t="s">
        <v>473</v>
      </c>
      <c r="GN1004" s="213">
        <v>2</v>
      </c>
      <c r="GO1004" s="213">
        <v>5</v>
      </c>
      <c r="GP1004" s="213">
        <v>6</v>
      </c>
      <c r="GQ1004" s="213">
        <v>0</v>
      </c>
      <c r="GR1004" s="213">
        <v>0</v>
      </c>
      <c r="GS1004" s="213">
        <v>0</v>
      </c>
      <c r="GT1004" s="213">
        <v>4</v>
      </c>
      <c r="GU1004" s="213">
        <v>9</v>
      </c>
      <c r="GV1004" s="213" t="b">
        <v>1</v>
      </c>
    </row>
    <row r="1005" spans="189:204" ht="12.75">
      <c r="GG1005" s="213">
        <v>10</v>
      </c>
      <c r="GH1005" s="213">
        <v>4</v>
      </c>
      <c r="GK1005" s="213">
        <v>0</v>
      </c>
      <c r="GL1005" s="213">
        <v>1</v>
      </c>
      <c r="GM1005" s="213" t="s">
        <v>473</v>
      </c>
      <c r="GN1005" s="213">
        <v>2</v>
      </c>
      <c r="GO1005" s="213">
        <v>7</v>
      </c>
      <c r="GP1005" s="213">
        <v>8</v>
      </c>
      <c r="GQ1005" s="213">
        <v>0</v>
      </c>
      <c r="GR1005" s="213">
        <v>0</v>
      </c>
      <c r="GS1005" s="213">
        <v>0</v>
      </c>
      <c r="GT1005" s="213">
        <v>14</v>
      </c>
      <c r="GU1005" s="213">
        <v>9</v>
      </c>
      <c r="GV1005" s="213" t="b">
        <v>1</v>
      </c>
    </row>
    <row r="1006" spans="189:204" ht="12.75">
      <c r="GG1006" s="213">
        <v>11</v>
      </c>
      <c r="GH1006" s="213">
        <v>5</v>
      </c>
      <c r="GL1006" s="213">
        <v>3</v>
      </c>
      <c r="GM1006" s="213" t="s">
        <v>474</v>
      </c>
      <c r="GN1006" s="213">
        <v>0</v>
      </c>
      <c r="GO1006" s="213">
        <v>0</v>
      </c>
      <c r="GP1006" s="213">
        <v>0</v>
      </c>
      <c r="GQ1006" s="213">
        <v>0</v>
      </c>
      <c r="GR1006" s="213">
        <v>0</v>
      </c>
      <c r="GS1006" s="213">
        <v>0</v>
      </c>
      <c r="GT1006" s="213">
        <v>2</v>
      </c>
      <c r="GU1006" s="213">
        <v>13</v>
      </c>
      <c r="GV1006" s="213" t="b">
        <v>1</v>
      </c>
    </row>
    <row r="1007" spans="189:204" ht="12.75">
      <c r="GG1007" s="213">
        <v>12</v>
      </c>
      <c r="GH1007" s="213">
        <v>6</v>
      </c>
      <c r="GL1007" s="213">
        <v>3</v>
      </c>
      <c r="GM1007" s="213" t="s">
        <v>474</v>
      </c>
      <c r="GN1007" s="213">
        <v>0</v>
      </c>
      <c r="GO1007" s="213">
        <v>0</v>
      </c>
      <c r="GP1007" s="213">
        <v>0</v>
      </c>
      <c r="GQ1007" s="213">
        <v>0</v>
      </c>
      <c r="GR1007" s="213">
        <v>0</v>
      </c>
      <c r="GS1007" s="213">
        <v>0</v>
      </c>
      <c r="GT1007" s="213">
        <v>7</v>
      </c>
      <c r="GU1007" s="213">
        <v>13</v>
      </c>
      <c r="GV1007" s="213" t="b">
        <v>1</v>
      </c>
    </row>
    <row r="1008" spans="189:204" ht="12.75">
      <c r="GG1008" s="213">
        <v>13</v>
      </c>
      <c r="GH1008" s="213">
        <v>7</v>
      </c>
      <c r="GL1008" s="213">
        <v>4</v>
      </c>
      <c r="GM1008" s="213" t="s">
        <v>474</v>
      </c>
      <c r="GN1008" s="213">
        <v>0</v>
      </c>
      <c r="GO1008" s="213">
        <v>0</v>
      </c>
      <c r="GP1008" s="213">
        <v>0</v>
      </c>
      <c r="GQ1008" s="213">
        <v>0</v>
      </c>
      <c r="GR1008" s="213">
        <v>0</v>
      </c>
      <c r="GS1008" s="213">
        <v>0</v>
      </c>
      <c r="GT1008" s="213">
        <v>12</v>
      </c>
      <c r="GU1008" s="213">
        <v>13</v>
      </c>
      <c r="GV1008" s="213" t="b">
        <v>1</v>
      </c>
    </row>
    <row r="1009" spans="189:204" ht="12.75">
      <c r="GG1009" s="213">
        <v>14</v>
      </c>
      <c r="GH1009" s="213">
        <v>8</v>
      </c>
      <c r="GL1009" s="213">
        <v>4</v>
      </c>
      <c r="GM1009" s="213" t="s">
        <v>474</v>
      </c>
      <c r="GN1009" s="213">
        <v>0</v>
      </c>
      <c r="GO1009" s="213">
        <v>0</v>
      </c>
      <c r="GP1009" s="213">
        <v>0</v>
      </c>
      <c r="GQ1009" s="213">
        <v>0</v>
      </c>
      <c r="GR1009" s="213">
        <v>0</v>
      </c>
      <c r="GS1009" s="213">
        <v>0</v>
      </c>
      <c r="GT1009" s="213">
        <v>17</v>
      </c>
      <c r="GU1009" s="213">
        <v>13</v>
      </c>
      <c r="GV1009" s="213" t="b">
        <v>1</v>
      </c>
    </row>
    <row r="1010" spans="190:204" ht="12.75">
      <c r="GH1010" s="213">
        <v>9</v>
      </c>
      <c r="GK1010" s="213">
        <v>0</v>
      </c>
      <c r="GL1010" s="213">
        <v>2</v>
      </c>
      <c r="GM1010" s="213" t="s">
        <v>473</v>
      </c>
      <c r="GN1010" s="213">
        <v>2</v>
      </c>
      <c r="GO1010" s="213">
        <v>11</v>
      </c>
      <c r="GP1010" s="213">
        <v>12</v>
      </c>
      <c r="GQ1010" s="213">
        <v>0</v>
      </c>
      <c r="GR1010" s="213">
        <v>0</v>
      </c>
      <c r="GS1010" s="213">
        <v>0</v>
      </c>
      <c r="GT1010" s="213">
        <v>24</v>
      </c>
      <c r="GU1010" s="213">
        <v>9</v>
      </c>
      <c r="GV1010" s="213" t="b">
        <v>1</v>
      </c>
    </row>
    <row r="1011" spans="190:204" ht="12.75">
      <c r="GH1011" s="213">
        <v>10</v>
      </c>
      <c r="GK1011" s="213">
        <v>0</v>
      </c>
      <c r="GL1011" s="213">
        <v>2</v>
      </c>
      <c r="GM1011" s="213" t="s">
        <v>473</v>
      </c>
      <c r="GN1011" s="213">
        <v>2</v>
      </c>
      <c r="GO1011" s="213">
        <v>13</v>
      </c>
      <c r="GP1011" s="213">
        <v>14</v>
      </c>
      <c r="GQ1011" s="213">
        <v>0</v>
      </c>
      <c r="GR1011" s="213">
        <v>0</v>
      </c>
      <c r="GS1011" s="213">
        <v>0</v>
      </c>
      <c r="GT1011" s="213">
        <v>34</v>
      </c>
      <c r="GU1011" s="213">
        <v>9</v>
      </c>
      <c r="GV1011" s="213" t="b">
        <v>1</v>
      </c>
    </row>
    <row r="1012" spans="190:204" ht="12.75">
      <c r="GH1012" s="213">
        <v>11</v>
      </c>
      <c r="GL1012" s="213">
        <v>9</v>
      </c>
      <c r="GM1012" s="213" t="s">
        <v>474</v>
      </c>
      <c r="GN1012" s="213">
        <v>0</v>
      </c>
      <c r="GO1012" s="213">
        <v>0</v>
      </c>
      <c r="GP1012" s="213">
        <v>0</v>
      </c>
      <c r="GQ1012" s="213">
        <v>0</v>
      </c>
      <c r="GR1012" s="213">
        <v>0</v>
      </c>
      <c r="GS1012" s="213">
        <v>0</v>
      </c>
      <c r="GT1012" s="213">
        <v>22</v>
      </c>
      <c r="GU1012" s="213">
        <v>13</v>
      </c>
      <c r="GV1012" s="213" t="b">
        <v>1</v>
      </c>
    </row>
    <row r="1013" spans="190:204" ht="12.75">
      <c r="GH1013" s="213">
        <v>12</v>
      </c>
      <c r="GL1013" s="213">
        <v>9</v>
      </c>
      <c r="GM1013" s="213" t="s">
        <v>474</v>
      </c>
      <c r="GN1013" s="213">
        <v>0</v>
      </c>
      <c r="GO1013" s="213">
        <v>0</v>
      </c>
      <c r="GP1013" s="213">
        <v>0</v>
      </c>
      <c r="GQ1013" s="213">
        <v>0</v>
      </c>
      <c r="GR1013" s="213">
        <v>0</v>
      </c>
      <c r="GS1013" s="213">
        <v>0</v>
      </c>
      <c r="GT1013" s="213">
        <v>27</v>
      </c>
      <c r="GU1013" s="213">
        <v>13</v>
      </c>
      <c r="GV1013" s="213" t="b">
        <v>1</v>
      </c>
    </row>
    <row r="1014" spans="190:204" ht="12.75">
      <c r="GH1014" s="213">
        <v>13</v>
      </c>
      <c r="GL1014" s="213">
        <v>10</v>
      </c>
      <c r="GM1014" s="213" t="s">
        <v>474</v>
      </c>
      <c r="GN1014" s="213">
        <v>0</v>
      </c>
      <c r="GO1014" s="213">
        <v>0</v>
      </c>
      <c r="GP1014" s="213">
        <v>0</v>
      </c>
      <c r="GQ1014" s="213">
        <v>0</v>
      </c>
      <c r="GR1014" s="213">
        <v>0</v>
      </c>
      <c r="GS1014" s="213">
        <v>0</v>
      </c>
      <c r="GT1014" s="213">
        <v>32</v>
      </c>
      <c r="GU1014" s="213">
        <v>13</v>
      </c>
      <c r="GV1014" s="213" t="b">
        <v>1</v>
      </c>
    </row>
    <row r="1015" spans="190:204" ht="12.75">
      <c r="GH1015" s="213">
        <v>14</v>
      </c>
      <c r="GL1015" s="213">
        <v>10</v>
      </c>
      <c r="GM1015" s="213" t="s">
        <v>474</v>
      </c>
      <c r="GN1015" s="213">
        <v>0</v>
      </c>
      <c r="GO1015" s="213">
        <v>0</v>
      </c>
      <c r="GP1015" s="213">
        <v>0</v>
      </c>
      <c r="GQ1015" s="213">
        <v>0</v>
      </c>
      <c r="GR1015" s="213">
        <v>0</v>
      </c>
      <c r="GS1015" s="213">
        <v>0</v>
      </c>
      <c r="GT1015" s="213">
        <v>37</v>
      </c>
      <c r="GU1015" s="213">
        <v>13</v>
      </c>
      <c r="GV1015" s="213" t="b">
        <v>1</v>
      </c>
    </row>
  </sheetData>
  <printOptions/>
  <pageMargins left="0.75" right="0.75" top="1" bottom="1" header="0.5" footer="0.5"/>
  <pageSetup fitToHeight="1" fitToWidth="1" orientation="portrait" paperSize="9" scale="71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"/>
    </sheetView>
  </sheetViews>
  <sheetFormatPr defaultColWidth="9.00390625" defaultRowHeight="12"/>
  <cols>
    <col min="1" max="1" width="2.875" style="216" customWidth="1"/>
    <col min="2" max="2" width="14.75390625" style="216" bestFit="1" customWidth="1"/>
    <col min="3" max="3" width="12.125" style="216" customWidth="1"/>
    <col min="4" max="4" width="13.875" style="216" bestFit="1" customWidth="1"/>
    <col min="5" max="5" width="14.75390625" style="216" bestFit="1" customWidth="1"/>
    <col min="6" max="8" width="8.875" style="216" customWidth="1"/>
    <col min="9" max="9" width="5.875" style="216" customWidth="1"/>
    <col min="10" max="16384" width="10.875" style="216" customWidth="1"/>
  </cols>
  <sheetData>
    <row r="1" ht="18">
      <c r="A1" s="215" t="s">
        <v>478</v>
      </c>
    </row>
    <row r="2" ht="12" customHeight="1" thickBot="1"/>
    <row r="3" spans="2:8" ht="12.75">
      <c r="B3" s="217" t="s">
        <v>479</v>
      </c>
      <c r="C3" s="218"/>
      <c r="D3" s="415" t="s">
        <v>480</v>
      </c>
      <c r="E3" s="416"/>
      <c r="F3" s="416"/>
      <c r="G3" s="416"/>
      <c r="H3" s="417"/>
    </row>
    <row r="4" spans="2:8" ht="12.75">
      <c r="B4" s="219" t="s">
        <v>481</v>
      </c>
      <c r="C4" s="220" t="s">
        <v>482</v>
      </c>
      <c r="D4" s="418" t="s">
        <v>483</v>
      </c>
      <c r="E4" s="419"/>
      <c r="F4" s="419"/>
      <c r="G4" s="419"/>
      <c r="H4" s="420"/>
    </row>
    <row r="5" spans="2:8" ht="12.75">
      <c r="B5" s="221" t="s">
        <v>484</v>
      </c>
      <c r="C5" s="222" t="s">
        <v>485</v>
      </c>
      <c r="D5" s="223" t="s">
        <v>475</v>
      </c>
      <c r="E5" s="223" t="s">
        <v>477</v>
      </c>
      <c r="F5" s="223"/>
      <c r="G5" s="223"/>
      <c r="H5" s="224"/>
    </row>
    <row r="6" spans="2:8" ht="12.75">
      <c r="B6" s="225" t="s">
        <v>454</v>
      </c>
      <c r="C6" s="226">
        <v>0.6</v>
      </c>
      <c r="D6" s="227">
        <v>0.7</v>
      </c>
      <c r="E6" s="227">
        <v>0.3</v>
      </c>
      <c r="F6" s="227"/>
      <c r="G6" s="227"/>
      <c r="H6" s="228"/>
    </row>
    <row r="7" spans="2:8" ht="12.75">
      <c r="B7" s="225" t="s">
        <v>456</v>
      </c>
      <c r="C7" s="226">
        <v>0.4</v>
      </c>
      <c r="D7" s="227">
        <v>0.2</v>
      </c>
      <c r="E7" s="227">
        <v>0.8</v>
      </c>
      <c r="F7" s="227"/>
      <c r="G7" s="227"/>
      <c r="H7" s="228"/>
    </row>
    <row r="8" spans="2:8" ht="12.75">
      <c r="B8" s="225"/>
      <c r="C8" s="226"/>
      <c r="D8" s="227"/>
      <c r="E8" s="227"/>
      <c r="F8" s="227"/>
      <c r="G8" s="227"/>
      <c r="H8" s="228"/>
    </row>
    <row r="9" spans="2:8" ht="12.75">
      <c r="B9" s="225"/>
      <c r="C9" s="226"/>
      <c r="D9" s="227"/>
      <c r="E9" s="227"/>
      <c r="F9" s="227"/>
      <c r="G9" s="227"/>
      <c r="H9" s="228"/>
    </row>
    <row r="10" spans="2:8" ht="13.5" thickBot="1">
      <c r="B10" s="229"/>
      <c r="C10" s="230"/>
      <c r="D10" s="231"/>
      <c r="E10" s="231"/>
      <c r="F10" s="231"/>
      <c r="G10" s="231"/>
      <c r="H10" s="232"/>
    </row>
    <row r="11" ht="13.5" thickBot="1"/>
    <row r="12" spans="2:8" ht="12.75">
      <c r="B12" s="233" t="s">
        <v>486</v>
      </c>
      <c r="C12" s="234"/>
      <c r="D12" s="415" t="s">
        <v>487</v>
      </c>
      <c r="E12" s="416"/>
      <c r="F12" s="416"/>
      <c r="G12" s="416"/>
      <c r="H12" s="417"/>
    </row>
    <row r="13" spans="2:8" ht="12.75">
      <c r="B13" s="235" t="s">
        <v>488</v>
      </c>
      <c r="C13" s="222"/>
      <c r="D13" s="418" t="s">
        <v>489</v>
      </c>
      <c r="E13" s="419"/>
      <c r="F13" s="419"/>
      <c r="G13" s="419"/>
      <c r="H13" s="420"/>
    </row>
    <row r="14" spans="2:8" ht="12.75">
      <c r="B14" s="236" t="s">
        <v>483</v>
      </c>
      <c r="C14" s="237" t="s">
        <v>490</v>
      </c>
      <c r="D14" s="238" t="str">
        <f>IF(B6="","",B6)</f>
        <v>Strong Sales</v>
      </c>
      <c r="E14" s="239" t="str">
        <f>IF(B7="","",B7)</f>
        <v>Moderate Sales</v>
      </c>
      <c r="F14" s="239">
        <f>IF(B8="","",B8)</f>
      </c>
      <c r="G14" s="239">
        <f>IF(B9="","",B9)</f>
      </c>
      <c r="H14" s="240">
        <f>IF(B10="","",B10)</f>
      </c>
    </row>
    <row r="15" spans="2:8" ht="12.75">
      <c r="B15" s="241" t="str">
        <f>IF(D5="","",D5)</f>
        <v>Positive Attitude</v>
      </c>
      <c r="C15" s="242">
        <f>IF(D6="","",SUMPRODUCT(C6:C10,D6:D10))</f>
        <v>0.5</v>
      </c>
      <c r="D15" s="243">
        <f>IF(D6="","",C6*D6/SUMPRODUCT(C6:C10,D6:D10))</f>
        <v>0.84</v>
      </c>
      <c r="E15" s="243">
        <f>IF(D7="","",C7*D7/SUMPRODUCT(C6:C10,D6:D10))</f>
        <v>0.16000000000000003</v>
      </c>
      <c r="F15" s="243">
        <f>IF(D8="","",C8*D8/SUMPRODUCT(C6:C10,D6:D10))</f>
      </c>
      <c r="G15" s="243">
        <f>IF(D9="","",C9*D9/SUMPRODUCT(C6:C10,D6:D10))</f>
      </c>
      <c r="H15" s="244">
        <f>IF(D10="","",C10*D10/SUMPRODUCT(C6:C10,D6:D10))</f>
      </c>
    </row>
    <row r="16" spans="2:8" ht="12.75">
      <c r="B16" s="241" t="str">
        <f>IF(E5="","",E5)</f>
        <v>Negative Attitude</v>
      </c>
      <c r="C16" s="245">
        <f>IF(E6="","",SUMPRODUCT(C6:C10,E6:E10))</f>
        <v>0.5</v>
      </c>
      <c r="D16" s="243">
        <f>IF(E6="","",C6*E6/SUMPRODUCT(C6:C10,E6:E10))</f>
        <v>0.36</v>
      </c>
      <c r="E16" s="243">
        <f>IF(E7="","",C7*E7/SUMPRODUCT(C6:C10,E6:E10))</f>
        <v>0.6400000000000001</v>
      </c>
      <c r="F16" s="243">
        <f>IF(E8="","",C8*E8/SUMPRODUCT(C6:C10,E6:E10))</f>
      </c>
      <c r="G16" s="243">
        <f>IF(E9="","",C9*E9/SUMPRODUCT(C6:C10,E6:E10))</f>
      </c>
      <c r="H16" s="244">
        <f>IF(E10="","",C10*E10/SUMPRODUCT(C6:C10,E6:E10))</f>
      </c>
    </row>
    <row r="17" spans="2:8" ht="12.75">
      <c r="B17" s="241">
        <f>IF(F5="","",F5)</f>
      </c>
      <c r="C17" s="245">
        <f>IF(F6="","",SUMPRODUCT(C6:C10,F6:F10))</f>
      </c>
      <c r="D17" s="243">
        <f>IF(F6="","",C6*F6/SUMPRODUCT(C6:C10,F6:F10))</f>
      </c>
      <c r="E17" s="243">
        <f>IF(F7="","",C7*F7/SUMPRODUCT(C6:C10,F6:F10))</f>
      </c>
      <c r="F17" s="243">
        <f>IF(F8="","",C8*F8/SUMPRODUCT(C6:C10,F6:F10))</f>
      </c>
      <c r="G17" s="243">
        <f>IF(F9="","",C9*F9/SUMPRODUCT(C6:C10,F6:F10))</f>
      </c>
      <c r="H17" s="244">
        <f>IF(F10="","",C10*F10/SUMPRODUCT(C6:C10,F6:F10))</f>
      </c>
    </row>
    <row r="18" spans="2:8" ht="12.75">
      <c r="B18" s="241">
        <f>IF(G5="","",G5)</f>
      </c>
      <c r="C18" s="245">
        <f>IF(G6="","",SUMPRODUCT(C6:C10,G6:G10))</f>
      </c>
      <c r="D18" s="243">
        <f>IF(G6="","",C6*G6/SUMPRODUCT(C6:C10,G6:G10))</f>
      </c>
      <c r="E18" s="243">
        <f>IF(G7="","",C7*G7/SUMPRODUCT(C6:C10,G6:G10))</f>
      </c>
      <c r="F18" s="243">
        <f>IF(G8="","",C8*G8/SUMPRODUCT(C6:C10,G6:G10))</f>
      </c>
      <c r="G18" s="243">
        <f>IF(G9="","",C9*G9/SUMPRODUCT(C6:C10,G6:G10))</f>
      </c>
      <c r="H18" s="244">
        <f>IF(G10="","",C10*G10/SUMPRODUCT(C6:C10,G6:G10))</f>
      </c>
    </row>
    <row r="19" spans="2:8" ht="13.5" thickBot="1">
      <c r="B19" s="246">
        <f>IF(H5="","",H5)</f>
      </c>
      <c r="C19" s="247">
        <f>IF(H6="","",SUMPRODUCT(C6:C10,H6:H10))</f>
      </c>
      <c r="D19" s="248">
        <f>IF(H6="","",C6*H6/SUMPRODUCT(C6:C10,H6:H10))</f>
      </c>
      <c r="E19" s="248">
        <f>IF(H7="","",C7*H7/SUMPRODUCT(C6:C10,H6:H10))</f>
      </c>
      <c r="F19" s="248">
        <f>IF(H8="","",C8*H8/SUMPRODUCT(C6:C10,H6:H10))</f>
      </c>
      <c r="G19" s="248">
        <f>IF(H9="","",C9*H9/SUMPRODUCT(C6:C10,H6:H10))</f>
      </c>
      <c r="H19" s="249">
        <f>IF(H10="","",C10*H10/SUMPRODUCT(C6:C10,H6:H10))</f>
      </c>
    </row>
  </sheetData>
  <mergeCells count="4">
    <mergeCell ref="D12:H12"/>
    <mergeCell ref="D13:H13"/>
    <mergeCell ref="D3:H3"/>
    <mergeCell ref="D4:H4"/>
  </mergeCells>
  <printOptions/>
  <pageMargins left="0.75" right="0.75" top="1" bottom="1" header="0.5" footer="0.5"/>
  <pageSetup fitToHeight="1" fitToWidth="1" orientation="portrait" paperSize="9" scale="9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7"/>
  <sheetViews>
    <sheetView workbookViewId="0" topLeftCell="A1">
      <selection activeCell="A1" sqref="A1"/>
    </sheetView>
  </sheetViews>
  <sheetFormatPr defaultColWidth="9.00390625" defaultRowHeight="12"/>
  <cols>
    <col min="1" max="1" width="12.375" style="213" customWidth="1"/>
    <col min="2" max="2" width="2.00390625" style="213" customWidth="1"/>
    <col min="3" max="3" width="3.125" style="213" customWidth="1"/>
    <col min="4" max="5" width="12.375" style="213" customWidth="1"/>
    <col min="6" max="6" width="2.00390625" style="213" customWidth="1"/>
    <col min="7" max="7" width="3.125" style="213" customWidth="1"/>
    <col min="8" max="9" width="12.375" style="213" customWidth="1"/>
    <col min="10" max="10" width="2.00390625" style="213" customWidth="1"/>
    <col min="11" max="11" width="3.125" style="213" customWidth="1"/>
    <col min="12" max="13" width="12.375" style="213" customWidth="1"/>
    <col min="14" max="14" width="2.00390625" style="213" customWidth="1"/>
    <col min="15" max="16384" width="12.375" style="213" customWidth="1"/>
  </cols>
  <sheetData>
    <row r="1" ht="12.75">
      <c r="H1" s="213">
        <v>0.6</v>
      </c>
    </row>
    <row r="2" ht="12.75">
      <c r="H2" s="213" t="s">
        <v>491</v>
      </c>
    </row>
    <row r="3" ht="12.75">
      <c r="O3" s="213">
        <f>SUM(H4,D7)</f>
        <v>4</v>
      </c>
    </row>
    <row r="4" spans="8:9" ht="12.75">
      <c r="H4" s="213">
        <v>5</v>
      </c>
      <c r="I4" s="213">
        <f>O3</f>
        <v>4</v>
      </c>
    </row>
    <row r="5" ht="12.75">
      <c r="D5" s="213" t="s">
        <v>492</v>
      </c>
    </row>
    <row r="6" ht="12.75">
      <c r="L6" s="213">
        <v>0.5</v>
      </c>
    </row>
    <row r="7" spans="4:12" ht="12.75">
      <c r="D7" s="213">
        <v>-1</v>
      </c>
      <c r="E7" s="213">
        <f>IF(ABS(1-SUM(H1,H8))&lt;=0.00001,SUM(H1*I4,H8*I11),NA())</f>
        <v>1.7999999999999998</v>
      </c>
      <c r="L7" s="213" t="s">
        <v>493</v>
      </c>
    </row>
    <row r="8" spans="8:15" ht="12.75">
      <c r="H8" s="213">
        <v>0.4</v>
      </c>
      <c r="O8" s="213">
        <f>SUM(L9,H11,D7)</f>
        <v>-1</v>
      </c>
    </row>
    <row r="9" spans="8:13" ht="12.75">
      <c r="H9" s="213" t="s">
        <v>494</v>
      </c>
      <c r="L9" s="213">
        <v>0</v>
      </c>
      <c r="M9" s="213">
        <f>O8</f>
        <v>-1</v>
      </c>
    </row>
    <row r="10" ht="12.75"/>
    <row r="11" spans="1:12" ht="12.75">
      <c r="A11" s="214"/>
      <c r="H11" s="213">
        <v>0</v>
      </c>
      <c r="I11" s="213">
        <f>IF(ABS(1-SUM(L6,L11))&lt;=0.00001,SUM(L6*M9,L11*M14),NA())</f>
        <v>-1.5</v>
      </c>
      <c r="L11" s="213">
        <v>0.5</v>
      </c>
    </row>
    <row r="12" spans="2:12" ht="12.75">
      <c r="B12" s="213">
        <f>IF(A13=E7,1,IF(A13=E19,2))</f>
        <v>1</v>
      </c>
      <c r="L12" s="213" t="s">
        <v>495</v>
      </c>
    </row>
    <row r="13" spans="1:15" ht="12.75">
      <c r="A13" s="213">
        <f>MAX(E7,E19)</f>
        <v>1.7999999999999998</v>
      </c>
      <c r="O13" s="213">
        <f>SUM(L14,H11,D7)</f>
        <v>-2</v>
      </c>
    </row>
    <row r="14" spans="12:13" ht="12.75">
      <c r="L14" s="213">
        <v>-1</v>
      </c>
      <c r="M14" s="213">
        <f>O13</f>
        <v>-2</v>
      </c>
    </row>
    <row r="17" ht="12.75">
      <c r="D17" s="213" t="s">
        <v>496</v>
      </c>
    </row>
    <row r="18" ht="12.75">
      <c r="O18" s="213">
        <f>SUM(D19)</f>
        <v>1.5</v>
      </c>
    </row>
    <row r="19" spans="4:5" ht="12.75">
      <c r="D19" s="213">
        <v>1.5</v>
      </c>
      <c r="E19" s="213">
        <f>O18</f>
        <v>1.5</v>
      </c>
    </row>
    <row r="1000" spans="190:204" ht="12.75">
      <c r="GH1000" s="213" t="s">
        <v>458</v>
      </c>
      <c r="GI1000" s="213" t="s">
        <v>431</v>
      </c>
      <c r="GJ1000" s="213" t="s">
        <v>433</v>
      </c>
      <c r="GK1000" s="213" t="s">
        <v>459</v>
      </c>
      <c r="GL1000" s="213" t="s">
        <v>460</v>
      </c>
      <c r="GM1000" s="213" t="s">
        <v>461</v>
      </c>
      <c r="GN1000" s="213" t="s">
        <v>462</v>
      </c>
      <c r="GO1000" s="213" t="s">
        <v>463</v>
      </c>
      <c r="GP1000" s="213" t="s">
        <v>464</v>
      </c>
      <c r="GQ1000" s="213" t="s">
        <v>465</v>
      </c>
      <c r="GR1000" s="213" t="s">
        <v>466</v>
      </c>
      <c r="GS1000" s="213" t="s">
        <v>467</v>
      </c>
      <c r="GT1000" s="213" t="s">
        <v>468</v>
      </c>
      <c r="GU1000" s="213" t="s">
        <v>469</v>
      </c>
      <c r="GV1000" s="213" t="s">
        <v>470</v>
      </c>
    </row>
    <row r="1001" spans="190:204" ht="12.75">
      <c r="GH1001" s="213">
        <v>0</v>
      </c>
      <c r="GI1001" s="213" t="s">
        <v>471</v>
      </c>
      <c r="GJ1001" s="213">
        <v>0</v>
      </c>
      <c r="GK1001" s="213">
        <v>0</v>
      </c>
      <c r="GL1001" s="213">
        <v>0</v>
      </c>
      <c r="GM1001" s="213" t="s">
        <v>472</v>
      </c>
      <c r="GN1001" s="213">
        <v>2</v>
      </c>
      <c r="GO1001" s="213">
        <v>1</v>
      </c>
      <c r="GP1001" s="213">
        <v>2</v>
      </c>
      <c r="GQ1001" s="213">
        <v>0</v>
      </c>
      <c r="GR1001" s="213">
        <v>0</v>
      </c>
      <c r="GS1001" s="213">
        <v>0</v>
      </c>
      <c r="GT1001" s="213">
        <v>11</v>
      </c>
      <c r="GU1001" s="213">
        <v>1</v>
      </c>
      <c r="GV1001" s="213" t="b">
        <v>1</v>
      </c>
    </row>
    <row r="1002" spans="190:204" ht="12.75">
      <c r="GH1002" s="213">
        <v>1</v>
      </c>
      <c r="GK1002" s="213">
        <v>0</v>
      </c>
      <c r="GL1002" s="213">
        <v>0</v>
      </c>
      <c r="GM1002" s="213" t="s">
        <v>473</v>
      </c>
      <c r="GN1002" s="213">
        <v>2</v>
      </c>
      <c r="GO1002" s="213">
        <v>3</v>
      </c>
      <c r="GP1002" s="213">
        <v>4</v>
      </c>
      <c r="GQ1002" s="213">
        <v>0</v>
      </c>
      <c r="GR1002" s="213">
        <v>0</v>
      </c>
      <c r="GS1002" s="213">
        <v>0</v>
      </c>
      <c r="GT1002" s="213">
        <v>5</v>
      </c>
      <c r="GU1002" s="213">
        <v>5</v>
      </c>
      <c r="GV1002" s="213" t="b">
        <v>1</v>
      </c>
    </row>
    <row r="1003" spans="190:204" ht="12.75">
      <c r="GH1003" s="213">
        <v>2</v>
      </c>
      <c r="GK1003" s="213">
        <v>0</v>
      </c>
      <c r="GL1003" s="213">
        <v>0</v>
      </c>
      <c r="GM1003" s="213" t="s">
        <v>474</v>
      </c>
      <c r="GN1003" s="213">
        <v>0</v>
      </c>
      <c r="GO1003" s="213">
        <v>0</v>
      </c>
      <c r="GP1003" s="213">
        <v>0</v>
      </c>
      <c r="GQ1003" s="213">
        <v>0</v>
      </c>
      <c r="GR1003" s="213">
        <v>0</v>
      </c>
      <c r="GS1003" s="213">
        <v>0</v>
      </c>
      <c r="GT1003" s="213">
        <v>17</v>
      </c>
      <c r="GU1003" s="213">
        <v>5</v>
      </c>
      <c r="GV1003" s="213" t="b">
        <v>1</v>
      </c>
    </row>
    <row r="1004" spans="190:204" ht="12.75">
      <c r="GH1004" s="213">
        <v>3</v>
      </c>
      <c r="GL1004" s="213">
        <v>1</v>
      </c>
      <c r="GM1004" s="213" t="s">
        <v>474</v>
      </c>
      <c r="GN1004" s="213">
        <v>0</v>
      </c>
      <c r="GO1004" s="213">
        <v>0</v>
      </c>
      <c r="GP1004" s="213">
        <v>0</v>
      </c>
      <c r="GQ1004" s="213">
        <v>0</v>
      </c>
      <c r="GR1004" s="213">
        <v>0</v>
      </c>
      <c r="GS1004" s="213">
        <v>0</v>
      </c>
      <c r="GT1004" s="213">
        <v>2</v>
      </c>
      <c r="GU1004" s="213">
        <v>9</v>
      </c>
      <c r="GV1004" s="213" t="b">
        <v>1</v>
      </c>
    </row>
    <row r="1005" spans="190:204" ht="12.75">
      <c r="GH1005" s="213">
        <v>4</v>
      </c>
      <c r="GL1005" s="213">
        <v>1</v>
      </c>
      <c r="GM1005" s="213" t="s">
        <v>473</v>
      </c>
      <c r="GN1005" s="213">
        <v>2</v>
      </c>
      <c r="GO1005" s="213">
        <v>5</v>
      </c>
      <c r="GP1005" s="213">
        <v>6</v>
      </c>
      <c r="GQ1005" s="213">
        <v>0</v>
      </c>
      <c r="GR1005" s="213">
        <v>0</v>
      </c>
      <c r="GS1005" s="213">
        <v>0</v>
      </c>
      <c r="GT1005" s="213">
        <v>9</v>
      </c>
      <c r="GU1005" s="213">
        <v>9</v>
      </c>
      <c r="GV1005" s="213" t="b">
        <v>1</v>
      </c>
    </row>
    <row r="1006" spans="190:204" ht="12.75">
      <c r="GH1006" s="213">
        <v>5</v>
      </c>
      <c r="GL1006" s="213">
        <v>4</v>
      </c>
      <c r="GM1006" s="213" t="s">
        <v>474</v>
      </c>
      <c r="GN1006" s="213">
        <v>0</v>
      </c>
      <c r="GO1006" s="213">
        <v>0</v>
      </c>
      <c r="GP1006" s="213">
        <v>0</v>
      </c>
      <c r="GQ1006" s="213">
        <v>0</v>
      </c>
      <c r="GR1006" s="213">
        <v>0</v>
      </c>
      <c r="GS1006" s="213">
        <v>0</v>
      </c>
      <c r="GT1006" s="213">
        <v>7</v>
      </c>
      <c r="GU1006" s="213">
        <v>13</v>
      </c>
      <c r="GV1006" s="213" t="b">
        <v>1</v>
      </c>
    </row>
    <row r="1007" spans="190:204" ht="12.75">
      <c r="GH1007" s="213">
        <v>6</v>
      </c>
      <c r="GL1007" s="213">
        <v>4</v>
      </c>
      <c r="GM1007" s="213" t="s">
        <v>474</v>
      </c>
      <c r="GN1007" s="213">
        <v>0</v>
      </c>
      <c r="GO1007" s="213">
        <v>0</v>
      </c>
      <c r="GP1007" s="213">
        <v>0</v>
      </c>
      <c r="GQ1007" s="213">
        <v>0</v>
      </c>
      <c r="GR1007" s="213">
        <v>0</v>
      </c>
      <c r="GS1007" s="213">
        <v>0</v>
      </c>
      <c r="GT1007" s="213">
        <v>12</v>
      </c>
      <c r="GU1007" s="213">
        <v>13</v>
      </c>
      <c r="GV1007" s="213" t="b">
        <v>1</v>
      </c>
    </row>
  </sheetData>
  <printOptions/>
  <pageMargins left="0.75" right="0.75" top="1" bottom="1" header="0.5" footer="0.5"/>
  <pageSetup fitToHeight="1" fitToWidth="1" orientation="portrait" paperSize="9" scale="71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7"/>
  <sheetViews>
    <sheetView workbookViewId="0" topLeftCell="A1">
      <selection activeCell="A1" sqref="A1"/>
    </sheetView>
  </sheetViews>
  <sheetFormatPr defaultColWidth="9.00390625" defaultRowHeight="12"/>
  <cols>
    <col min="1" max="1" width="12.375" style="213" customWidth="1"/>
    <col min="2" max="2" width="2.00390625" style="213" customWidth="1"/>
    <col min="3" max="3" width="3.125" style="213" customWidth="1"/>
    <col min="4" max="5" width="12.375" style="213" customWidth="1"/>
    <col min="6" max="6" width="2.00390625" style="213" customWidth="1"/>
    <col min="7" max="7" width="3.125" style="213" customWidth="1"/>
    <col min="8" max="9" width="12.375" style="213" customWidth="1"/>
    <col min="10" max="10" width="2.00390625" style="213" customWidth="1"/>
    <col min="11" max="11" width="3.125" style="213" customWidth="1"/>
    <col min="12" max="13" width="12.375" style="213" customWidth="1"/>
    <col min="14" max="14" width="2.00390625" style="213" customWidth="1"/>
    <col min="15" max="16384" width="12.375" style="213" customWidth="1"/>
  </cols>
  <sheetData>
    <row r="1" ht="12.75">
      <c r="H1" s="213">
        <v>0.6</v>
      </c>
    </row>
    <row r="2" ht="12.75">
      <c r="H2" s="213" t="s">
        <v>491</v>
      </c>
    </row>
    <row r="3" ht="12.75">
      <c r="O3" s="213">
        <f>SUM(H4,D7)</f>
        <v>4</v>
      </c>
    </row>
    <row r="4" spans="8:9" ht="12.75">
      <c r="H4" s="213">
        <v>5</v>
      </c>
      <c r="I4" s="213">
        <f>O3</f>
        <v>4</v>
      </c>
    </row>
    <row r="5" spans="4:9" ht="12.75">
      <c r="D5" s="213" t="s">
        <v>492</v>
      </c>
      <c r="I5" s="213">
        <f>A-B*EXP(-I4/RT)</f>
        <v>0.9816843611112658</v>
      </c>
    </row>
    <row r="6" ht="12.75">
      <c r="L6" s="213">
        <v>0.5</v>
      </c>
    </row>
    <row r="7" spans="4:12" ht="12.75">
      <c r="D7" s="213">
        <v>-1</v>
      </c>
      <c r="E7" s="213">
        <f>-LN((A-E8)/B)*RT</f>
        <v>-0.7092453906590928</v>
      </c>
      <c r="L7" s="213" t="s">
        <v>493</v>
      </c>
    </row>
    <row r="8" spans="5:15" ht="12.75">
      <c r="E8" s="213">
        <f>IF(ABS(1-SUM(H1,H8))&lt;=0.00001,SUM(H1*I5,H8*I12),NA())</f>
        <v>-1.0324569688111795</v>
      </c>
      <c r="H8" s="213">
        <v>0.4</v>
      </c>
      <c r="O8" s="213">
        <f>SUM(L9,H11,D7)</f>
        <v>-1</v>
      </c>
    </row>
    <row r="9" spans="8:13" ht="12.75">
      <c r="H9" s="213" t="s">
        <v>494</v>
      </c>
      <c r="L9" s="213">
        <v>0</v>
      </c>
      <c r="M9" s="213">
        <f>O8</f>
        <v>-1</v>
      </c>
    </row>
    <row r="10" ht="12.75">
      <c r="M10" s="213">
        <f>A-B*EXP(-M9/RT)</f>
        <v>-1.718281828459045</v>
      </c>
    </row>
    <row r="11" spans="1:12" ht="12.75">
      <c r="A11" s="214"/>
      <c r="H11" s="213">
        <v>0</v>
      </c>
      <c r="I11" s="213">
        <f>-LN((A-I12)/B)*RT</f>
        <v>-1.6201145069582774</v>
      </c>
      <c r="L11" s="213">
        <v>0.5</v>
      </c>
    </row>
    <row r="12" spans="2:12" ht="12.75">
      <c r="B12" s="213">
        <f>IF(A13=E7,1,IF(A13=E19,2))</f>
        <v>2</v>
      </c>
      <c r="I12" s="213">
        <f>IF(ABS(1-SUM(L6,L11))&lt;=0.00001,SUM(L6*M10,L11*M15),NA())</f>
        <v>-4.0536689636948475</v>
      </c>
      <c r="L12" s="213" t="s">
        <v>495</v>
      </c>
    </row>
    <row r="13" spans="1:15" ht="12.75">
      <c r="A13" s="213">
        <f>MAX(E7,E19)</f>
        <v>1.5</v>
      </c>
      <c r="O13" s="213">
        <f>SUM(L14,H11,D7)</f>
        <v>-2</v>
      </c>
    </row>
    <row r="14" spans="1:13" ht="12.75">
      <c r="A14" s="213">
        <f>A-B*EXP(-A13/RT)</f>
        <v>0.7768698398515702</v>
      </c>
      <c r="L14" s="213">
        <v>-1</v>
      </c>
      <c r="M14" s="213">
        <f>O13</f>
        <v>-2</v>
      </c>
    </row>
    <row r="15" ht="12.75">
      <c r="M15" s="213">
        <f>A-B*EXP(-M14/RT)</f>
        <v>-6.38905609893065</v>
      </c>
    </row>
    <row r="17" ht="12.75">
      <c r="D17" s="213" t="s">
        <v>496</v>
      </c>
    </row>
    <row r="18" ht="12.75">
      <c r="O18" s="213">
        <f>SUM(D19)</f>
        <v>1.5</v>
      </c>
    </row>
    <row r="19" spans="4:5" ht="12.75">
      <c r="D19" s="213">
        <v>1.5</v>
      </c>
      <c r="E19" s="213">
        <f>O18</f>
        <v>1.5</v>
      </c>
    </row>
    <row r="20" ht="12.75">
      <c r="E20" s="213">
        <f>A-B*EXP(-E19/RT)</f>
        <v>0.7768698398515702</v>
      </c>
    </row>
    <row r="22" spans="5:6" ht="12.75">
      <c r="E22" s="250" t="s">
        <v>497</v>
      </c>
      <c r="F22" s="251">
        <v>1</v>
      </c>
    </row>
    <row r="1000" spans="190:204" ht="12.75">
      <c r="GH1000" s="213" t="s">
        <v>458</v>
      </c>
      <c r="GI1000" s="213" t="s">
        <v>431</v>
      </c>
      <c r="GJ1000" s="213" t="s">
        <v>433</v>
      </c>
      <c r="GK1000" s="213" t="s">
        <v>459</v>
      </c>
      <c r="GL1000" s="213" t="s">
        <v>460</v>
      </c>
      <c r="GM1000" s="213" t="s">
        <v>461</v>
      </c>
      <c r="GN1000" s="213" t="s">
        <v>462</v>
      </c>
      <c r="GO1000" s="213" t="s">
        <v>463</v>
      </c>
      <c r="GP1000" s="213" t="s">
        <v>464</v>
      </c>
      <c r="GQ1000" s="213" t="s">
        <v>465</v>
      </c>
      <c r="GR1000" s="213" t="s">
        <v>466</v>
      </c>
      <c r="GS1000" s="213" t="s">
        <v>467</v>
      </c>
      <c r="GT1000" s="213" t="s">
        <v>468</v>
      </c>
      <c r="GU1000" s="213" t="s">
        <v>469</v>
      </c>
      <c r="GV1000" s="213" t="s">
        <v>470</v>
      </c>
    </row>
    <row r="1001" spans="190:204" ht="12.75">
      <c r="GH1001" s="213">
        <v>0</v>
      </c>
      <c r="GI1001" s="213" t="s">
        <v>471</v>
      </c>
      <c r="GJ1001" s="213">
        <v>0</v>
      </c>
      <c r="GK1001" s="213">
        <v>0</v>
      </c>
      <c r="GL1001" s="213">
        <v>0</v>
      </c>
      <c r="GM1001" s="213" t="s">
        <v>472</v>
      </c>
      <c r="GN1001" s="213">
        <v>2</v>
      </c>
      <c r="GO1001" s="213">
        <v>1</v>
      </c>
      <c r="GP1001" s="213">
        <v>2</v>
      </c>
      <c r="GQ1001" s="213">
        <v>0</v>
      </c>
      <c r="GR1001" s="213">
        <v>0</v>
      </c>
      <c r="GS1001" s="213">
        <v>0</v>
      </c>
      <c r="GT1001" s="213">
        <v>11</v>
      </c>
      <c r="GU1001" s="213">
        <v>1</v>
      </c>
      <c r="GV1001" s="213" t="b">
        <v>1</v>
      </c>
    </row>
    <row r="1002" spans="190:204" ht="12.75">
      <c r="GH1002" s="213">
        <v>1</v>
      </c>
      <c r="GK1002" s="213">
        <v>0</v>
      </c>
      <c r="GL1002" s="213">
        <v>0</v>
      </c>
      <c r="GM1002" s="213" t="s">
        <v>473</v>
      </c>
      <c r="GN1002" s="213">
        <v>2</v>
      </c>
      <c r="GO1002" s="213">
        <v>3</v>
      </c>
      <c r="GP1002" s="213">
        <v>4</v>
      </c>
      <c r="GQ1002" s="213">
        <v>0</v>
      </c>
      <c r="GR1002" s="213">
        <v>0</v>
      </c>
      <c r="GS1002" s="213">
        <v>0</v>
      </c>
      <c r="GT1002" s="213">
        <v>5</v>
      </c>
      <c r="GU1002" s="213">
        <v>5</v>
      </c>
      <c r="GV1002" s="213" t="b">
        <v>1</v>
      </c>
    </row>
    <row r="1003" spans="190:204" ht="12.75">
      <c r="GH1003" s="213">
        <v>2</v>
      </c>
      <c r="GK1003" s="213">
        <v>0</v>
      </c>
      <c r="GL1003" s="213">
        <v>0</v>
      </c>
      <c r="GM1003" s="213" t="s">
        <v>474</v>
      </c>
      <c r="GN1003" s="213">
        <v>0</v>
      </c>
      <c r="GO1003" s="213">
        <v>0</v>
      </c>
      <c r="GP1003" s="213">
        <v>0</v>
      </c>
      <c r="GQ1003" s="213">
        <v>0</v>
      </c>
      <c r="GR1003" s="213">
        <v>0</v>
      </c>
      <c r="GS1003" s="213">
        <v>0</v>
      </c>
      <c r="GT1003" s="213">
        <v>17</v>
      </c>
      <c r="GU1003" s="213">
        <v>5</v>
      </c>
      <c r="GV1003" s="213" t="b">
        <v>1</v>
      </c>
    </row>
    <row r="1004" spans="190:204" ht="12.75">
      <c r="GH1004" s="213">
        <v>3</v>
      </c>
      <c r="GL1004" s="213">
        <v>1</v>
      </c>
      <c r="GM1004" s="213" t="s">
        <v>474</v>
      </c>
      <c r="GN1004" s="213">
        <v>0</v>
      </c>
      <c r="GO1004" s="213">
        <v>0</v>
      </c>
      <c r="GP1004" s="213">
        <v>0</v>
      </c>
      <c r="GQ1004" s="213">
        <v>0</v>
      </c>
      <c r="GR1004" s="213">
        <v>0</v>
      </c>
      <c r="GS1004" s="213">
        <v>0</v>
      </c>
      <c r="GT1004" s="213">
        <v>2</v>
      </c>
      <c r="GU1004" s="213">
        <v>9</v>
      </c>
      <c r="GV1004" s="213" t="b">
        <v>1</v>
      </c>
    </row>
    <row r="1005" spans="190:204" ht="12.75">
      <c r="GH1005" s="213">
        <v>4</v>
      </c>
      <c r="GL1005" s="213">
        <v>1</v>
      </c>
      <c r="GM1005" s="213" t="s">
        <v>473</v>
      </c>
      <c r="GN1005" s="213">
        <v>2</v>
      </c>
      <c r="GO1005" s="213">
        <v>5</v>
      </c>
      <c r="GP1005" s="213">
        <v>6</v>
      </c>
      <c r="GQ1005" s="213">
        <v>0</v>
      </c>
      <c r="GR1005" s="213">
        <v>0</v>
      </c>
      <c r="GS1005" s="213">
        <v>0</v>
      </c>
      <c r="GT1005" s="213">
        <v>9</v>
      </c>
      <c r="GU1005" s="213">
        <v>9</v>
      </c>
      <c r="GV1005" s="213" t="b">
        <v>1</v>
      </c>
    </row>
    <row r="1006" spans="190:204" ht="12.75">
      <c r="GH1006" s="213">
        <v>5</v>
      </c>
      <c r="GL1006" s="213">
        <v>4</v>
      </c>
      <c r="GM1006" s="213" t="s">
        <v>474</v>
      </c>
      <c r="GN1006" s="213">
        <v>0</v>
      </c>
      <c r="GO1006" s="213">
        <v>0</v>
      </c>
      <c r="GP1006" s="213">
        <v>0</v>
      </c>
      <c r="GQ1006" s="213">
        <v>0</v>
      </c>
      <c r="GR1006" s="213">
        <v>0</v>
      </c>
      <c r="GS1006" s="213">
        <v>0</v>
      </c>
      <c r="GT1006" s="213">
        <v>7</v>
      </c>
      <c r="GU1006" s="213">
        <v>13</v>
      </c>
      <c r="GV1006" s="213" t="b">
        <v>1</v>
      </c>
    </row>
    <row r="1007" spans="190:204" ht="12.75">
      <c r="GH1007" s="213">
        <v>6</v>
      </c>
      <c r="GL1007" s="213">
        <v>4</v>
      </c>
      <c r="GM1007" s="213" t="s">
        <v>474</v>
      </c>
      <c r="GN1007" s="213">
        <v>0</v>
      </c>
      <c r="GO1007" s="213">
        <v>0</v>
      </c>
      <c r="GP1007" s="213">
        <v>0</v>
      </c>
      <c r="GQ1007" s="213">
        <v>0</v>
      </c>
      <c r="GR1007" s="213">
        <v>0</v>
      </c>
      <c r="GS1007" s="213">
        <v>0</v>
      </c>
      <c r="GT1007" s="213">
        <v>12</v>
      </c>
      <c r="GU1007" s="213">
        <v>13</v>
      </c>
      <c r="GV1007" s="213" t="b">
        <v>1</v>
      </c>
    </row>
  </sheetData>
  <printOptions/>
  <pageMargins left="0.75" right="0.75" top="1" bottom="1" header="0.5" footer="0.5"/>
  <pageSetup fitToHeight="1" fitToWidth="1" orientation="portrait" paperSize="9" scale="71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C7" sqref="C7"/>
    </sheetView>
  </sheetViews>
  <sheetFormatPr defaultColWidth="9.00390625" defaultRowHeight="12"/>
  <cols>
    <col min="1" max="1" width="3.125" style="255" customWidth="1"/>
    <col min="2" max="2" width="15.00390625" style="253" customWidth="1"/>
    <col min="3" max="3" width="11.00390625" style="254" customWidth="1"/>
    <col min="4" max="4" width="20.375" style="255" customWidth="1"/>
    <col min="5" max="5" width="31.375" style="255" customWidth="1"/>
    <col min="6" max="6" width="29.25390625" style="255" hidden="1" customWidth="1"/>
    <col min="7" max="7" width="5.75390625" style="253" bestFit="1" customWidth="1"/>
    <col min="8" max="8" width="14.00390625" style="256" bestFit="1" customWidth="1"/>
    <col min="9" max="9" width="12.375" style="255" customWidth="1"/>
    <col min="10" max="10" width="13.125" style="255" bestFit="1" customWidth="1"/>
    <col min="11" max="11" width="9.25390625" style="255" bestFit="1" customWidth="1"/>
    <col min="12" max="16384" width="12.375" style="255" customWidth="1"/>
  </cols>
  <sheetData>
    <row r="1" ht="18">
      <c r="A1" s="252" t="s">
        <v>498</v>
      </c>
    </row>
    <row r="2" ht="13.5" thickBot="1"/>
    <row r="3" spans="1:11" ht="13.5" thickBot="1">
      <c r="A3" s="257"/>
      <c r="C3" s="258" t="s">
        <v>499</v>
      </c>
      <c r="H3" s="259" t="s">
        <v>500</v>
      </c>
      <c r="J3" s="260" t="s">
        <v>501</v>
      </c>
      <c r="K3" s="261" t="s">
        <v>502</v>
      </c>
    </row>
    <row r="4" spans="1:11" ht="12.75">
      <c r="A4" s="257"/>
      <c r="B4" s="262" t="s">
        <v>503</v>
      </c>
      <c r="C4" s="263">
        <v>30</v>
      </c>
      <c r="D4" s="256" t="s">
        <v>504</v>
      </c>
      <c r="E4" s="256"/>
      <c r="F4" s="264">
        <f aca="true" t="shared" si="0" ref="F4:F29">IF(G13&lt;=s-1,((Lambda/Mu)^G13)/FACT(G13),0)</f>
        <v>1</v>
      </c>
      <c r="G4" s="265" t="s">
        <v>505</v>
      </c>
      <c r="H4" s="266">
        <f>IF(Rho&lt;1,Lq+Lambda/Mu,NA())</f>
        <v>3.428571428571429</v>
      </c>
      <c r="J4" s="267" t="s">
        <v>506</v>
      </c>
      <c r="K4" s="268" t="s">
        <v>507</v>
      </c>
    </row>
    <row r="5" spans="1:11" ht="15.75">
      <c r="A5" s="257"/>
      <c r="B5" s="262" t="s">
        <v>508</v>
      </c>
      <c r="C5" s="263">
        <v>20</v>
      </c>
      <c r="D5" s="256" t="s">
        <v>509</v>
      </c>
      <c r="E5" s="256"/>
      <c r="F5" s="264">
        <f t="shared" si="0"/>
        <v>1.5</v>
      </c>
      <c r="G5" s="265" t="s">
        <v>254</v>
      </c>
      <c r="H5" s="269">
        <f>IF(Rho&lt;1,Lambda*Mu*((Lambda/Mu)^s)/(FACT(s-1)*(s*Mu-Lambda)^2/P0),NA())</f>
        <v>1.9285714285714286</v>
      </c>
      <c r="J5" s="270" t="s">
        <v>510</v>
      </c>
      <c r="K5" s="271" t="s">
        <v>511</v>
      </c>
    </row>
    <row r="6" spans="1:11" ht="12.75">
      <c r="A6" s="257"/>
      <c r="B6" s="272" t="s">
        <v>512</v>
      </c>
      <c r="C6" s="263">
        <v>2</v>
      </c>
      <c r="D6" s="256" t="s">
        <v>513</v>
      </c>
      <c r="E6" s="256"/>
      <c r="F6" s="264">
        <f t="shared" si="0"/>
        <v>0</v>
      </c>
      <c r="G6" s="265"/>
      <c r="H6" s="269"/>
      <c r="I6" s="273"/>
      <c r="J6" s="270" t="s">
        <v>514</v>
      </c>
      <c r="K6" s="271" t="s">
        <v>515</v>
      </c>
    </row>
    <row r="7" spans="1:11" ht="13.5" thickBot="1">
      <c r="A7" s="257"/>
      <c r="B7" s="272"/>
      <c r="C7" s="274"/>
      <c r="D7" s="256"/>
      <c r="E7" s="256"/>
      <c r="F7" s="264">
        <f t="shared" si="0"/>
        <v>0</v>
      </c>
      <c r="G7" s="265" t="s">
        <v>516</v>
      </c>
      <c r="H7" s="269">
        <f>IF(Rho&lt;1,L/Lambda,NA())</f>
        <v>0.1142857142857143</v>
      </c>
      <c r="I7" s="254"/>
      <c r="J7" s="270" t="s">
        <v>517</v>
      </c>
      <c r="K7" s="271" t="s">
        <v>518</v>
      </c>
    </row>
    <row r="8" spans="1:11" ht="16.5" thickBot="1">
      <c r="A8" s="257"/>
      <c r="B8" s="265" t="s">
        <v>519</v>
      </c>
      <c r="C8" s="275">
        <f>IF((s-1-Lambda/Mu)=0,EXP(-Mu*C9)*(1+P0*((Lambda/Mu)^s)/(FACT(s)*(1-Rho))*Mu*C9),EXP(-Mu*C9)*(1+P0*((Lambda/Mu)^s)/(FACT(s)*(1-Rho))*(1-EXP(-Mu*C9*(s-1-Lambda/Mu)))/(s-1-Lambda/Mu)))</f>
        <v>0.5048046672697971</v>
      </c>
      <c r="D8" s="256"/>
      <c r="E8" s="256"/>
      <c r="F8" s="264">
        <f t="shared" si="0"/>
        <v>0</v>
      </c>
      <c r="G8" s="265" t="s">
        <v>255</v>
      </c>
      <c r="H8" s="269">
        <f>IF(Rho&lt;1,Lq/Lambda,NA())</f>
        <v>0.0642857142857143</v>
      </c>
      <c r="I8" s="254"/>
      <c r="J8" s="270" t="s">
        <v>520</v>
      </c>
      <c r="K8" s="271" t="s">
        <v>521</v>
      </c>
    </row>
    <row r="9" spans="1:11" ht="12.75">
      <c r="A9" s="257"/>
      <c r="B9" s="272" t="s">
        <v>522</v>
      </c>
      <c r="C9" s="263">
        <f>5/60</f>
        <v>0.08333333333333333</v>
      </c>
      <c r="D9" s="256"/>
      <c r="E9" s="276">
        <f>IF(Rho&gt;=1,"Model invalid because:","")</f>
      </c>
      <c r="F9" s="264">
        <f t="shared" si="0"/>
        <v>0</v>
      </c>
      <c r="G9" s="265"/>
      <c r="H9" s="269"/>
      <c r="J9" s="270" t="s">
        <v>523</v>
      </c>
      <c r="K9" s="271" t="s">
        <v>524</v>
      </c>
    </row>
    <row r="10" spans="1:11" ht="13.5" thickBot="1">
      <c r="A10" s="257"/>
      <c r="B10" s="272"/>
      <c r="C10" s="274"/>
      <c r="D10" s="256"/>
      <c r="E10" s="276">
        <f>IF(Rho&gt;=1,"   r   &gt;=   1","")</f>
      </c>
      <c r="F10" s="264">
        <f t="shared" si="0"/>
        <v>0</v>
      </c>
      <c r="G10" s="277" t="s">
        <v>525</v>
      </c>
      <c r="H10" s="278">
        <f>Lambda/(s*Mu)</f>
        <v>0.75</v>
      </c>
      <c r="J10" s="270" t="s">
        <v>526</v>
      </c>
      <c r="K10" s="271" t="s">
        <v>527</v>
      </c>
    </row>
    <row r="11" spans="1:11" ht="16.5" thickBot="1">
      <c r="A11" s="257"/>
      <c r="B11" s="265" t="s">
        <v>256</v>
      </c>
      <c r="C11" s="275">
        <f ca="1">(1-SUM(OFFSET(P0,0,0,s,1)))*EXP(-s*Mu*(1-Rho)*C12)</f>
        <v>0.2793845626116932</v>
      </c>
      <c r="D11" s="256"/>
      <c r="E11" s="256"/>
      <c r="F11" s="264">
        <f t="shared" si="0"/>
        <v>0</v>
      </c>
      <c r="G11" s="272"/>
      <c r="J11" s="270" t="s">
        <v>528</v>
      </c>
      <c r="K11" s="271" t="s">
        <v>529</v>
      </c>
    </row>
    <row r="12" spans="1:11" ht="16.5" thickBot="1">
      <c r="A12" s="257"/>
      <c r="B12" s="272" t="s">
        <v>522</v>
      </c>
      <c r="C12" s="263">
        <f>5/60</f>
        <v>0.08333333333333333</v>
      </c>
      <c r="D12" s="256"/>
      <c r="E12" s="256"/>
      <c r="F12" s="264">
        <f t="shared" si="0"/>
        <v>0</v>
      </c>
      <c r="G12" s="279" t="s">
        <v>520</v>
      </c>
      <c r="H12" s="280" t="s">
        <v>257</v>
      </c>
      <c r="J12" s="270" t="s">
        <v>530</v>
      </c>
      <c r="K12" s="271" t="s">
        <v>245</v>
      </c>
    </row>
    <row r="13" spans="2:11" ht="12.75">
      <c r="B13" s="272"/>
      <c r="C13" s="274"/>
      <c r="D13" s="256"/>
      <c r="E13" s="256"/>
      <c r="F13" s="264">
        <f t="shared" si="0"/>
        <v>0</v>
      </c>
      <c r="G13" s="265">
        <v>0</v>
      </c>
      <c r="H13" s="266">
        <f>IF(Rho&lt;1,1/(SUM(F4:F29)+((Lambda/Mu)^s)/(FACT(s)*(1-Lambda/(s*Mu)))),NA())</f>
        <v>0.14285714285714285</v>
      </c>
      <c r="J13" s="270" t="s">
        <v>246</v>
      </c>
      <c r="K13" s="271" t="s">
        <v>247</v>
      </c>
    </row>
    <row r="14" spans="2:11" ht="12.75">
      <c r="B14" s="256"/>
      <c r="C14" s="256"/>
      <c r="D14" s="256"/>
      <c r="E14" s="256"/>
      <c r="F14" s="264">
        <f t="shared" si="0"/>
        <v>0</v>
      </c>
      <c r="G14" s="265">
        <v>1</v>
      </c>
      <c r="H14" s="269">
        <f aca="true" t="shared" si="1" ref="H14:H38">IF(Rho&lt;1,IF(s=1,(1-Rho)*Rho^n,IF(s&gt;=n,((Lambda/Mu)^n)*P0/FACT(n),((Lambda/Mu)^n)*P0/(FACT(s)*(s^(n-s))))),NA())</f>
        <v>0.21428571428571427</v>
      </c>
      <c r="J14" s="270" t="s">
        <v>248</v>
      </c>
      <c r="K14" s="271" t="s">
        <v>249</v>
      </c>
    </row>
    <row r="15" spans="2:11" ht="12.75">
      <c r="B15" s="256"/>
      <c r="C15" s="256"/>
      <c r="D15" s="256"/>
      <c r="E15" s="256"/>
      <c r="F15" s="264">
        <f t="shared" si="0"/>
        <v>0</v>
      </c>
      <c r="G15" s="265">
        <v>2</v>
      </c>
      <c r="H15" s="269">
        <f t="shared" si="1"/>
        <v>0.1607142857142857</v>
      </c>
      <c r="J15" s="270" t="s">
        <v>250</v>
      </c>
      <c r="K15" s="271" t="s">
        <v>251</v>
      </c>
    </row>
    <row r="16" spans="2:11" ht="13.5" thickBot="1">
      <c r="B16" s="256"/>
      <c r="C16" s="256"/>
      <c r="D16" s="256"/>
      <c r="E16" s="256"/>
      <c r="F16" s="264">
        <f t="shared" si="0"/>
        <v>0</v>
      </c>
      <c r="G16" s="265">
        <v>3</v>
      </c>
      <c r="H16" s="269">
        <f t="shared" si="1"/>
        <v>0.12053571428571427</v>
      </c>
      <c r="J16" s="281" t="s">
        <v>252</v>
      </c>
      <c r="K16" s="282" t="s">
        <v>253</v>
      </c>
    </row>
    <row r="17" spans="2:8" ht="12.75">
      <c r="B17" s="256"/>
      <c r="C17" s="256"/>
      <c r="D17" s="256"/>
      <c r="E17" s="256"/>
      <c r="F17" s="264">
        <f t="shared" si="0"/>
        <v>0</v>
      </c>
      <c r="G17" s="265">
        <v>4</v>
      </c>
      <c r="H17" s="269">
        <f t="shared" si="1"/>
        <v>0.09040178571428571</v>
      </c>
    </row>
    <row r="18" spans="2:8" ht="12.75">
      <c r="B18" s="256"/>
      <c r="C18" s="274"/>
      <c r="D18" s="256"/>
      <c r="E18" s="256"/>
      <c r="F18" s="264">
        <f t="shared" si="0"/>
        <v>0</v>
      </c>
      <c r="G18" s="265">
        <v>5</v>
      </c>
      <c r="H18" s="269">
        <f t="shared" si="1"/>
        <v>0.06780133928571429</v>
      </c>
    </row>
    <row r="19" spans="2:8" ht="12.75">
      <c r="B19" s="256"/>
      <c r="C19" s="274"/>
      <c r="D19" s="256"/>
      <c r="E19" s="256"/>
      <c r="F19" s="264">
        <f t="shared" si="0"/>
        <v>0</v>
      </c>
      <c r="G19" s="265">
        <v>6</v>
      </c>
      <c r="H19" s="269">
        <f t="shared" si="1"/>
        <v>0.05085100446428571</v>
      </c>
    </row>
    <row r="20" spans="2:8" ht="12.75">
      <c r="B20" s="256"/>
      <c r="C20" s="274"/>
      <c r="D20" s="256"/>
      <c r="E20" s="256"/>
      <c r="F20" s="264">
        <f t="shared" si="0"/>
        <v>0</v>
      </c>
      <c r="G20" s="265">
        <v>7</v>
      </c>
      <c r="H20" s="269">
        <f t="shared" si="1"/>
        <v>0.03813825334821428</v>
      </c>
    </row>
    <row r="21" spans="2:8" ht="12.75">
      <c r="B21" s="272"/>
      <c r="C21" s="274"/>
      <c r="D21" s="256"/>
      <c r="E21" s="256"/>
      <c r="F21" s="264">
        <f t="shared" si="0"/>
        <v>0</v>
      </c>
      <c r="G21" s="265">
        <v>8</v>
      </c>
      <c r="H21" s="269">
        <f t="shared" si="1"/>
        <v>0.028603690011160712</v>
      </c>
    </row>
    <row r="22" spans="2:8" ht="12.75">
      <c r="B22" s="272"/>
      <c r="C22" s="274"/>
      <c r="D22" s="256"/>
      <c r="E22" s="256"/>
      <c r="F22" s="264">
        <f t="shared" si="0"/>
        <v>0</v>
      </c>
      <c r="G22" s="265">
        <v>9</v>
      </c>
      <c r="H22" s="269">
        <f t="shared" si="1"/>
        <v>0.021452767508370534</v>
      </c>
    </row>
    <row r="23" spans="2:8" ht="12.75">
      <c r="B23" s="272"/>
      <c r="C23" s="274"/>
      <c r="D23" s="256"/>
      <c r="E23" s="256"/>
      <c r="F23" s="264">
        <f t="shared" si="0"/>
        <v>0</v>
      </c>
      <c r="G23" s="265">
        <v>10</v>
      </c>
      <c r="H23" s="269">
        <f t="shared" si="1"/>
        <v>0.0160895756312779</v>
      </c>
    </row>
    <row r="24" spans="2:8" ht="12.75">
      <c r="B24" s="272"/>
      <c r="C24" s="274"/>
      <c r="D24" s="256"/>
      <c r="E24" s="256"/>
      <c r="F24" s="264">
        <f t="shared" si="0"/>
        <v>0</v>
      </c>
      <c r="G24" s="265">
        <v>11</v>
      </c>
      <c r="H24" s="269">
        <f t="shared" si="1"/>
        <v>0.012067181723458425</v>
      </c>
    </row>
    <row r="25" spans="2:8" ht="12.75">
      <c r="B25" s="272"/>
      <c r="C25" s="274"/>
      <c r="D25" s="256"/>
      <c r="E25" s="256"/>
      <c r="F25" s="264">
        <f t="shared" si="0"/>
        <v>0</v>
      </c>
      <c r="G25" s="265">
        <v>12</v>
      </c>
      <c r="H25" s="269">
        <f t="shared" si="1"/>
        <v>0.00905038629259382</v>
      </c>
    </row>
    <row r="26" spans="2:8" ht="12.75">
      <c r="B26" s="272"/>
      <c r="C26" s="274"/>
      <c r="D26" s="256"/>
      <c r="E26" s="256"/>
      <c r="F26" s="264">
        <f t="shared" si="0"/>
        <v>0</v>
      </c>
      <c r="G26" s="265">
        <v>13</v>
      </c>
      <c r="H26" s="269">
        <f t="shared" si="1"/>
        <v>0.006787789719445364</v>
      </c>
    </row>
    <row r="27" spans="2:8" ht="12.75">
      <c r="B27" s="272"/>
      <c r="C27" s="274"/>
      <c r="D27" s="256"/>
      <c r="E27" s="256"/>
      <c r="F27" s="264">
        <f t="shared" si="0"/>
        <v>0</v>
      </c>
      <c r="G27" s="265">
        <v>14</v>
      </c>
      <c r="H27" s="269">
        <f t="shared" si="1"/>
        <v>0.005090842289584023</v>
      </c>
    </row>
    <row r="28" spans="2:8" ht="12.75">
      <c r="B28" s="272"/>
      <c r="C28" s="274"/>
      <c r="D28" s="256"/>
      <c r="E28" s="256"/>
      <c r="F28" s="264">
        <f t="shared" si="0"/>
        <v>0</v>
      </c>
      <c r="G28" s="265">
        <v>15</v>
      </c>
      <c r="H28" s="269">
        <f t="shared" si="1"/>
        <v>0.0038181317171880175</v>
      </c>
    </row>
    <row r="29" spans="2:8" ht="12.75">
      <c r="B29" s="272"/>
      <c r="C29" s="274"/>
      <c r="D29" s="256"/>
      <c r="E29" s="256"/>
      <c r="F29" s="264">
        <f t="shared" si="0"/>
        <v>0</v>
      </c>
      <c r="G29" s="265">
        <v>16</v>
      </c>
      <c r="H29" s="269">
        <f t="shared" si="1"/>
        <v>0.002863598787891013</v>
      </c>
    </row>
    <row r="30" spans="2:8" ht="12.75">
      <c r="B30" s="272"/>
      <c r="C30" s="274"/>
      <c r="D30" s="256"/>
      <c r="E30" s="256"/>
      <c r="F30" s="256"/>
      <c r="G30" s="265">
        <v>17</v>
      </c>
      <c r="H30" s="269">
        <f t="shared" si="1"/>
        <v>0.0021476990909182598</v>
      </c>
    </row>
    <row r="31" spans="2:8" ht="12.75">
      <c r="B31" s="272"/>
      <c r="C31" s="274"/>
      <c r="D31" s="256"/>
      <c r="E31" s="256"/>
      <c r="F31" s="256"/>
      <c r="G31" s="265">
        <v>18</v>
      </c>
      <c r="H31" s="269">
        <f t="shared" si="1"/>
        <v>0.001610774318188695</v>
      </c>
    </row>
    <row r="32" spans="2:8" ht="12.75">
      <c r="B32" s="272"/>
      <c r="C32" s="274"/>
      <c r="D32" s="256"/>
      <c r="E32" s="256"/>
      <c r="F32" s="256"/>
      <c r="G32" s="265">
        <v>19</v>
      </c>
      <c r="H32" s="269">
        <f t="shared" si="1"/>
        <v>0.0012080807386415213</v>
      </c>
    </row>
    <row r="33" spans="2:8" ht="12.75">
      <c r="B33" s="272"/>
      <c r="C33" s="274"/>
      <c r="D33" s="256"/>
      <c r="E33" s="256"/>
      <c r="F33" s="256"/>
      <c r="G33" s="265">
        <v>20</v>
      </c>
      <c r="H33" s="269">
        <f t="shared" si="1"/>
        <v>0.0009060605539811409</v>
      </c>
    </row>
    <row r="34" spans="2:8" ht="12.75">
      <c r="B34" s="272"/>
      <c r="C34" s="274"/>
      <c r="D34" s="256"/>
      <c r="E34" s="256"/>
      <c r="F34" s="256"/>
      <c r="G34" s="265">
        <v>21</v>
      </c>
      <c r="H34" s="269">
        <f t="shared" si="1"/>
        <v>0.0006795454154858556</v>
      </c>
    </row>
    <row r="35" spans="2:8" ht="12.75">
      <c r="B35" s="272"/>
      <c r="C35" s="274"/>
      <c r="D35" s="256"/>
      <c r="E35" s="256"/>
      <c r="F35" s="256"/>
      <c r="G35" s="265">
        <v>22</v>
      </c>
      <c r="H35" s="269">
        <f t="shared" si="1"/>
        <v>0.0005096590616143917</v>
      </c>
    </row>
    <row r="36" spans="2:8" ht="12.75">
      <c r="B36" s="272"/>
      <c r="C36" s="274"/>
      <c r="D36" s="256"/>
      <c r="E36" s="256"/>
      <c r="F36" s="256"/>
      <c r="G36" s="265">
        <v>23</v>
      </c>
      <c r="H36" s="269">
        <f t="shared" si="1"/>
        <v>0.0003822442962107938</v>
      </c>
    </row>
    <row r="37" spans="2:8" ht="12.75">
      <c r="B37" s="272"/>
      <c r="C37" s="274"/>
      <c r="D37" s="256"/>
      <c r="E37" s="256"/>
      <c r="F37" s="256"/>
      <c r="G37" s="265">
        <v>24</v>
      </c>
      <c r="H37" s="269">
        <f t="shared" si="1"/>
        <v>0.00028668322215809534</v>
      </c>
    </row>
    <row r="38" spans="2:8" ht="13.5" thickBot="1">
      <c r="B38" s="272"/>
      <c r="C38" s="274"/>
      <c r="D38" s="256"/>
      <c r="E38" s="256"/>
      <c r="F38" s="256"/>
      <c r="G38" s="265">
        <v>25</v>
      </c>
      <c r="H38" s="278">
        <f t="shared" si="1"/>
        <v>0.0002150124166185715</v>
      </c>
    </row>
    <row r="39" spans="2:7" ht="12.75">
      <c r="B39" s="272"/>
      <c r="C39" s="274"/>
      <c r="D39" s="256"/>
      <c r="E39" s="256"/>
      <c r="F39" s="256"/>
      <c r="G39" s="272"/>
    </row>
    <row r="40" spans="2:7" ht="12.75">
      <c r="B40" s="272"/>
      <c r="C40" s="274"/>
      <c r="D40" s="256"/>
      <c r="E40" s="256"/>
      <c r="F40" s="256"/>
      <c r="G40" s="272"/>
    </row>
    <row r="41" spans="2:7" ht="12.75">
      <c r="B41" s="272"/>
      <c r="C41" s="274"/>
      <c r="D41" s="256"/>
      <c r="E41" s="256"/>
      <c r="F41" s="256"/>
      <c r="G41" s="272"/>
    </row>
    <row r="42" spans="2:7" ht="12.75">
      <c r="B42" s="272"/>
      <c r="C42" s="274"/>
      <c r="D42" s="256"/>
      <c r="E42" s="256"/>
      <c r="F42" s="256"/>
      <c r="G42" s="272"/>
    </row>
    <row r="43" spans="2:7" ht="12.75">
      <c r="B43" s="272"/>
      <c r="C43" s="274"/>
      <c r="D43" s="256"/>
      <c r="E43" s="256"/>
      <c r="F43" s="256"/>
      <c r="G43" s="272"/>
    </row>
    <row r="44" spans="2:7" ht="12.75">
      <c r="B44" s="272"/>
      <c r="C44" s="274"/>
      <c r="D44" s="256"/>
      <c r="E44" s="256"/>
      <c r="F44" s="256"/>
      <c r="G44" s="272"/>
    </row>
    <row r="45" spans="2:7" ht="12.75">
      <c r="B45" s="272"/>
      <c r="C45" s="274"/>
      <c r="D45" s="256"/>
      <c r="E45" s="256"/>
      <c r="F45" s="256"/>
      <c r="G45" s="272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C7" sqref="C7"/>
    </sheetView>
  </sheetViews>
  <sheetFormatPr defaultColWidth="9.00390625" defaultRowHeight="12"/>
  <cols>
    <col min="1" max="1" width="3.125" style="255" customWidth="1"/>
    <col min="2" max="2" width="15.00390625" style="253" customWidth="1"/>
    <col min="3" max="3" width="11.00390625" style="254" customWidth="1"/>
    <col min="4" max="4" width="20.375" style="255" customWidth="1"/>
    <col min="5" max="5" width="31.375" style="255" customWidth="1"/>
    <col min="6" max="6" width="29.25390625" style="255" hidden="1" customWidth="1"/>
    <col min="7" max="7" width="5.75390625" style="253" bestFit="1" customWidth="1"/>
    <col min="8" max="8" width="14.00390625" style="256" bestFit="1" customWidth="1"/>
    <col min="9" max="9" width="12.375" style="255" customWidth="1"/>
    <col min="10" max="10" width="13.125" style="255" bestFit="1" customWidth="1"/>
    <col min="11" max="11" width="9.25390625" style="255" bestFit="1" customWidth="1"/>
    <col min="12" max="16384" width="12.375" style="255" customWidth="1"/>
  </cols>
  <sheetData>
    <row r="1" ht="18">
      <c r="A1" s="252" t="s">
        <v>498</v>
      </c>
    </row>
    <row r="2" ht="13.5" thickBot="1"/>
    <row r="3" spans="1:11" ht="13.5" thickBot="1">
      <c r="A3" s="257"/>
      <c r="C3" s="258" t="s">
        <v>499</v>
      </c>
      <c r="H3" s="259" t="s">
        <v>500</v>
      </c>
      <c r="J3" s="260" t="s">
        <v>501</v>
      </c>
      <c r="K3" s="261" t="s">
        <v>502</v>
      </c>
    </row>
    <row r="4" spans="1:11" ht="12.75">
      <c r="A4" s="257"/>
      <c r="B4" s="262" t="s">
        <v>503</v>
      </c>
      <c r="C4" s="263">
        <v>30</v>
      </c>
      <c r="D4" s="256" t="s">
        <v>504</v>
      </c>
      <c r="E4" s="256"/>
      <c r="F4" s="264">
        <f aca="true" t="shared" si="0" ref="F4:F29">IF(G13&lt;=s-1,((Lambda/Mu)^G13)/FACT(G13),0)</f>
        <v>1</v>
      </c>
      <c r="G4" s="265" t="s">
        <v>505</v>
      </c>
      <c r="H4" s="266">
        <f>IF(Rho&lt;1,Lq+Lambda/Mu,NA())</f>
        <v>1.736842105263158</v>
      </c>
      <c r="J4" s="267" t="s">
        <v>506</v>
      </c>
      <c r="K4" s="268" t="s">
        <v>507</v>
      </c>
    </row>
    <row r="5" spans="1:11" ht="15.75">
      <c r="A5" s="257"/>
      <c r="B5" s="262" t="s">
        <v>508</v>
      </c>
      <c r="C5" s="263">
        <v>20</v>
      </c>
      <c r="D5" s="256" t="s">
        <v>509</v>
      </c>
      <c r="E5" s="256"/>
      <c r="F5" s="264">
        <f t="shared" si="0"/>
        <v>1.5</v>
      </c>
      <c r="G5" s="265" t="s">
        <v>254</v>
      </c>
      <c r="H5" s="269">
        <f>IF(Rho&lt;1,Lambda*Mu*((Lambda/Mu)^s)/(FACT(s-1)*(s*Mu-Lambda)^2/P0),NA())</f>
        <v>0.23684210526315788</v>
      </c>
      <c r="J5" s="270" t="s">
        <v>510</v>
      </c>
      <c r="K5" s="271" t="s">
        <v>511</v>
      </c>
    </row>
    <row r="6" spans="1:11" ht="12.75">
      <c r="A6" s="257"/>
      <c r="B6" s="272" t="s">
        <v>512</v>
      </c>
      <c r="C6" s="263">
        <v>3</v>
      </c>
      <c r="D6" s="256" t="s">
        <v>513</v>
      </c>
      <c r="E6" s="256"/>
      <c r="F6" s="264">
        <f t="shared" si="0"/>
        <v>1.125</v>
      </c>
      <c r="G6" s="265"/>
      <c r="H6" s="269"/>
      <c r="I6" s="273"/>
      <c r="J6" s="270" t="s">
        <v>514</v>
      </c>
      <c r="K6" s="271" t="s">
        <v>515</v>
      </c>
    </row>
    <row r="7" spans="1:11" ht="13.5" thickBot="1">
      <c r="A7" s="257"/>
      <c r="B7" s="272"/>
      <c r="C7" s="274"/>
      <c r="D7" s="256"/>
      <c r="E7" s="256"/>
      <c r="F7" s="264">
        <f t="shared" si="0"/>
        <v>0</v>
      </c>
      <c r="G7" s="265" t="s">
        <v>516</v>
      </c>
      <c r="H7" s="269">
        <f>IF(Rho&lt;1,L/Lambda,NA())</f>
        <v>0.05789473684210526</v>
      </c>
      <c r="I7" s="254"/>
      <c r="J7" s="270" t="s">
        <v>517</v>
      </c>
      <c r="K7" s="271" t="s">
        <v>518</v>
      </c>
    </row>
    <row r="8" spans="1:11" ht="16.5" thickBot="1">
      <c r="A8" s="257"/>
      <c r="B8" s="265" t="s">
        <v>519</v>
      </c>
      <c r="C8" s="275">
        <f>IF((s-1-Lambda/Mu)=0,EXP(-Mu*C9)*(1+P0*((Lambda/Mu)^s)/(FACT(s)*(1-Rho))*Mu*C9),EXP(-Mu*C9)*(1+P0*((Lambda/Mu)^s)/(FACT(s)*(1-Rho))*(1-EXP(-Mu*C9*(s-1-Lambda/Mu)))/(s-1-Lambda/Mu)))</f>
        <v>0.2394606258861391</v>
      </c>
      <c r="D8" s="256"/>
      <c r="E8" s="256"/>
      <c r="F8" s="264">
        <f t="shared" si="0"/>
        <v>0</v>
      </c>
      <c r="G8" s="265" t="s">
        <v>255</v>
      </c>
      <c r="H8" s="269">
        <f>IF(Rho&lt;1,Lq/Lambda,NA())</f>
        <v>0.007894736842105263</v>
      </c>
      <c r="I8" s="254"/>
      <c r="J8" s="270" t="s">
        <v>520</v>
      </c>
      <c r="K8" s="271" t="s">
        <v>521</v>
      </c>
    </row>
    <row r="9" spans="1:11" ht="12.75">
      <c r="A9" s="257"/>
      <c r="B9" s="272" t="s">
        <v>522</v>
      </c>
      <c r="C9" s="263">
        <f>5/60</f>
        <v>0.08333333333333333</v>
      </c>
      <c r="D9" s="256"/>
      <c r="E9" s="276">
        <f>IF(Rho&gt;=1,"Model invalid because:","")</f>
      </c>
      <c r="F9" s="264">
        <f t="shared" si="0"/>
        <v>0</v>
      </c>
      <c r="G9" s="265"/>
      <c r="H9" s="269"/>
      <c r="J9" s="270" t="s">
        <v>523</v>
      </c>
      <c r="K9" s="271" t="s">
        <v>524</v>
      </c>
    </row>
    <row r="10" spans="1:11" ht="13.5" thickBot="1">
      <c r="A10" s="257"/>
      <c r="B10" s="272"/>
      <c r="C10" s="274"/>
      <c r="D10" s="256"/>
      <c r="E10" s="276">
        <f>IF(Rho&gt;=1,"   r   &gt;=   1","")</f>
      </c>
      <c r="F10" s="264">
        <f t="shared" si="0"/>
        <v>0</v>
      </c>
      <c r="G10" s="277" t="s">
        <v>525</v>
      </c>
      <c r="H10" s="278">
        <f>Lambda/(s*Mu)</f>
        <v>0.5</v>
      </c>
      <c r="J10" s="270" t="s">
        <v>526</v>
      </c>
      <c r="K10" s="271" t="s">
        <v>527</v>
      </c>
    </row>
    <row r="11" spans="1:11" ht="16.5" thickBot="1">
      <c r="A11" s="257"/>
      <c r="B11" s="265" t="s">
        <v>256</v>
      </c>
      <c r="C11" s="275">
        <f ca="1">(1-SUM(OFFSET(P0,0,0,s,1)))*EXP(-s*Mu*(1-Rho)*C12)</f>
        <v>0.019441183884607617</v>
      </c>
      <c r="D11" s="256"/>
      <c r="E11" s="256"/>
      <c r="F11" s="264">
        <f t="shared" si="0"/>
        <v>0</v>
      </c>
      <c r="G11" s="272"/>
      <c r="J11" s="270" t="s">
        <v>528</v>
      </c>
      <c r="K11" s="271" t="s">
        <v>529</v>
      </c>
    </row>
    <row r="12" spans="1:11" ht="16.5" thickBot="1">
      <c r="A12" s="257"/>
      <c r="B12" s="272" t="s">
        <v>522</v>
      </c>
      <c r="C12" s="263">
        <f>5/60</f>
        <v>0.08333333333333333</v>
      </c>
      <c r="D12" s="256"/>
      <c r="E12" s="256"/>
      <c r="F12" s="264">
        <f t="shared" si="0"/>
        <v>0</v>
      </c>
      <c r="G12" s="279" t="s">
        <v>520</v>
      </c>
      <c r="H12" s="280" t="s">
        <v>257</v>
      </c>
      <c r="J12" s="270" t="s">
        <v>530</v>
      </c>
      <c r="K12" s="271" t="s">
        <v>245</v>
      </c>
    </row>
    <row r="13" spans="2:11" ht="12.75">
      <c r="B13" s="272"/>
      <c r="C13" s="274"/>
      <c r="D13" s="256"/>
      <c r="E13" s="256"/>
      <c r="F13" s="264">
        <f t="shared" si="0"/>
        <v>0</v>
      </c>
      <c r="G13" s="265">
        <v>0</v>
      </c>
      <c r="H13" s="266">
        <f>IF(Rho&lt;1,1/(SUM(F4:F29)+((Lambda/Mu)^s)/(FACT(s)*(1-Lambda/(s*Mu)))),NA())</f>
        <v>0.21052631578947367</v>
      </c>
      <c r="J13" s="270" t="s">
        <v>246</v>
      </c>
      <c r="K13" s="271" t="s">
        <v>247</v>
      </c>
    </row>
    <row r="14" spans="2:11" ht="12.75">
      <c r="B14" s="256"/>
      <c r="C14" s="256"/>
      <c r="D14" s="256"/>
      <c r="E14" s="256"/>
      <c r="F14" s="264">
        <f t="shared" si="0"/>
        <v>0</v>
      </c>
      <c r="G14" s="265">
        <v>1</v>
      </c>
      <c r="H14" s="269">
        <f aca="true" t="shared" si="1" ref="H14:H38">IF(Rho&lt;1,IF(s=1,(1-Rho)*Rho^n,IF(s&gt;=n,((Lambda/Mu)^n)*P0/FACT(n),((Lambda/Mu)^n)*P0/(FACT(s)*(s^(n-s))))),NA())</f>
        <v>0.3157894736842105</v>
      </c>
      <c r="J14" s="270" t="s">
        <v>248</v>
      </c>
      <c r="K14" s="271" t="s">
        <v>249</v>
      </c>
    </row>
    <row r="15" spans="2:11" ht="12.75">
      <c r="B15" s="256"/>
      <c r="C15" s="256"/>
      <c r="D15" s="256"/>
      <c r="E15" s="256"/>
      <c r="F15" s="264">
        <f t="shared" si="0"/>
        <v>0</v>
      </c>
      <c r="G15" s="265">
        <v>2</v>
      </c>
      <c r="H15" s="269">
        <f t="shared" si="1"/>
        <v>0.23684210526315788</v>
      </c>
      <c r="J15" s="270" t="s">
        <v>250</v>
      </c>
      <c r="K15" s="271" t="s">
        <v>251</v>
      </c>
    </row>
    <row r="16" spans="2:11" ht="13.5" thickBot="1">
      <c r="B16" s="256"/>
      <c r="C16" s="256"/>
      <c r="D16" s="256"/>
      <c r="E16" s="256"/>
      <c r="F16" s="264">
        <f t="shared" si="0"/>
        <v>0</v>
      </c>
      <c r="G16" s="265">
        <v>3</v>
      </c>
      <c r="H16" s="269">
        <f t="shared" si="1"/>
        <v>0.11842105263157894</v>
      </c>
      <c r="J16" s="281" t="s">
        <v>252</v>
      </c>
      <c r="K16" s="282" t="s">
        <v>253</v>
      </c>
    </row>
    <row r="17" spans="2:8" ht="12.75">
      <c r="B17" s="256"/>
      <c r="C17" s="256"/>
      <c r="D17" s="256"/>
      <c r="E17" s="256"/>
      <c r="F17" s="264">
        <f t="shared" si="0"/>
        <v>0</v>
      </c>
      <c r="G17" s="265">
        <v>4</v>
      </c>
      <c r="H17" s="269">
        <f t="shared" si="1"/>
        <v>0.05921052631578946</v>
      </c>
    </row>
    <row r="18" spans="2:8" ht="12.75">
      <c r="B18" s="256"/>
      <c r="C18" s="274"/>
      <c r="D18" s="256"/>
      <c r="E18" s="256"/>
      <c r="F18" s="264">
        <f t="shared" si="0"/>
        <v>0</v>
      </c>
      <c r="G18" s="265">
        <v>5</v>
      </c>
      <c r="H18" s="269">
        <f t="shared" si="1"/>
        <v>0.029605263157894735</v>
      </c>
    </row>
    <row r="19" spans="2:8" ht="12.75">
      <c r="B19" s="256"/>
      <c r="C19" s="274"/>
      <c r="D19" s="256"/>
      <c r="E19" s="256"/>
      <c r="F19" s="264">
        <f t="shared" si="0"/>
        <v>0</v>
      </c>
      <c r="G19" s="265">
        <v>6</v>
      </c>
      <c r="H19" s="269">
        <f t="shared" si="1"/>
        <v>0.014802631578947368</v>
      </c>
    </row>
    <row r="20" spans="2:8" ht="12.75">
      <c r="B20" s="256"/>
      <c r="C20" s="274"/>
      <c r="D20" s="256"/>
      <c r="E20" s="256"/>
      <c r="F20" s="264">
        <f t="shared" si="0"/>
        <v>0</v>
      </c>
      <c r="G20" s="265">
        <v>7</v>
      </c>
      <c r="H20" s="269">
        <f t="shared" si="1"/>
        <v>0.007401315789473684</v>
      </c>
    </row>
    <row r="21" spans="2:8" ht="12.75">
      <c r="B21" s="272"/>
      <c r="C21" s="274"/>
      <c r="D21" s="256"/>
      <c r="E21" s="256"/>
      <c r="F21" s="264">
        <f t="shared" si="0"/>
        <v>0</v>
      </c>
      <c r="G21" s="265">
        <v>8</v>
      </c>
      <c r="H21" s="269">
        <f t="shared" si="1"/>
        <v>0.0037006578947368423</v>
      </c>
    </row>
    <row r="22" spans="2:8" ht="12.75">
      <c r="B22" s="272"/>
      <c r="C22" s="274"/>
      <c r="D22" s="256"/>
      <c r="E22" s="256"/>
      <c r="F22" s="264">
        <f t="shared" si="0"/>
        <v>0</v>
      </c>
      <c r="G22" s="265">
        <v>9</v>
      </c>
      <c r="H22" s="269">
        <f t="shared" si="1"/>
        <v>0.0018503289473684207</v>
      </c>
    </row>
    <row r="23" spans="2:8" ht="12.75">
      <c r="B23" s="272"/>
      <c r="C23" s="274"/>
      <c r="D23" s="256"/>
      <c r="E23" s="256"/>
      <c r="F23" s="264">
        <f t="shared" si="0"/>
        <v>0</v>
      </c>
      <c r="G23" s="265">
        <v>10</v>
      </c>
      <c r="H23" s="269">
        <f t="shared" si="1"/>
        <v>0.0009251644736842106</v>
      </c>
    </row>
    <row r="24" spans="2:8" ht="12.75">
      <c r="B24" s="272"/>
      <c r="C24" s="274"/>
      <c r="D24" s="256"/>
      <c r="E24" s="256"/>
      <c r="F24" s="264">
        <f t="shared" si="0"/>
        <v>0</v>
      </c>
      <c r="G24" s="265">
        <v>11</v>
      </c>
      <c r="H24" s="269">
        <f t="shared" si="1"/>
        <v>0.00046258223684210524</v>
      </c>
    </row>
    <row r="25" spans="2:8" ht="12.75">
      <c r="B25" s="272"/>
      <c r="C25" s="274"/>
      <c r="D25" s="256"/>
      <c r="E25" s="256"/>
      <c r="F25" s="264">
        <f t="shared" si="0"/>
        <v>0</v>
      </c>
      <c r="G25" s="265">
        <v>12</v>
      </c>
      <c r="H25" s="269">
        <f t="shared" si="1"/>
        <v>0.00023129111842105262</v>
      </c>
    </row>
    <row r="26" spans="2:8" ht="12.75">
      <c r="B26" s="272"/>
      <c r="C26" s="274"/>
      <c r="D26" s="256"/>
      <c r="E26" s="256"/>
      <c r="F26" s="264">
        <f t="shared" si="0"/>
        <v>0</v>
      </c>
      <c r="G26" s="265">
        <v>13</v>
      </c>
      <c r="H26" s="269">
        <f t="shared" si="1"/>
        <v>0.0001156455592105263</v>
      </c>
    </row>
    <row r="27" spans="2:8" ht="12.75">
      <c r="B27" s="272"/>
      <c r="C27" s="274"/>
      <c r="D27" s="256"/>
      <c r="E27" s="256"/>
      <c r="F27" s="264">
        <f t="shared" si="0"/>
        <v>0</v>
      </c>
      <c r="G27" s="265">
        <v>14</v>
      </c>
      <c r="H27" s="269">
        <f t="shared" si="1"/>
        <v>5.7822779605263155E-05</v>
      </c>
    </row>
    <row r="28" spans="2:8" ht="12.75">
      <c r="B28" s="272"/>
      <c r="C28" s="274"/>
      <c r="D28" s="256"/>
      <c r="E28" s="256"/>
      <c r="F28" s="264">
        <f t="shared" si="0"/>
        <v>0</v>
      </c>
      <c r="G28" s="265">
        <v>15</v>
      </c>
      <c r="H28" s="269">
        <f t="shared" si="1"/>
        <v>2.8911389802631577E-05</v>
      </c>
    </row>
    <row r="29" spans="2:8" ht="12.75">
      <c r="B29" s="272"/>
      <c r="C29" s="274"/>
      <c r="D29" s="256"/>
      <c r="E29" s="256"/>
      <c r="F29" s="264">
        <f t="shared" si="0"/>
        <v>0</v>
      </c>
      <c r="G29" s="265">
        <v>16</v>
      </c>
      <c r="H29" s="269">
        <f t="shared" si="1"/>
        <v>1.4455694901315787E-05</v>
      </c>
    </row>
    <row r="30" spans="2:8" ht="12.75">
      <c r="B30" s="272"/>
      <c r="C30" s="274"/>
      <c r="D30" s="256"/>
      <c r="E30" s="256"/>
      <c r="F30" s="256"/>
      <c r="G30" s="265">
        <v>17</v>
      </c>
      <c r="H30" s="269">
        <f t="shared" si="1"/>
        <v>7.227847450657894E-06</v>
      </c>
    </row>
    <row r="31" spans="2:8" ht="12.75">
      <c r="B31" s="272"/>
      <c r="C31" s="274"/>
      <c r="D31" s="256"/>
      <c r="E31" s="256"/>
      <c r="F31" s="256"/>
      <c r="G31" s="265">
        <v>18</v>
      </c>
      <c r="H31" s="269">
        <f t="shared" si="1"/>
        <v>3.6139237253289476E-06</v>
      </c>
    </row>
    <row r="32" spans="2:8" ht="12.75">
      <c r="B32" s="272"/>
      <c r="C32" s="274"/>
      <c r="D32" s="256"/>
      <c r="E32" s="256"/>
      <c r="F32" s="256"/>
      <c r="G32" s="265">
        <v>19</v>
      </c>
      <c r="H32" s="269">
        <f t="shared" si="1"/>
        <v>1.8069618626644736E-06</v>
      </c>
    </row>
    <row r="33" spans="2:8" ht="12.75">
      <c r="B33" s="272"/>
      <c r="C33" s="274"/>
      <c r="D33" s="256"/>
      <c r="E33" s="256"/>
      <c r="F33" s="256"/>
      <c r="G33" s="265">
        <v>20</v>
      </c>
      <c r="H33" s="269">
        <f t="shared" si="1"/>
        <v>9.034809313322368E-07</v>
      </c>
    </row>
    <row r="34" spans="2:8" ht="12.75">
      <c r="B34" s="272"/>
      <c r="C34" s="274"/>
      <c r="D34" s="256"/>
      <c r="E34" s="256"/>
      <c r="F34" s="256"/>
      <c r="G34" s="265">
        <v>21</v>
      </c>
      <c r="H34" s="269">
        <f t="shared" si="1"/>
        <v>4.517404656661184E-07</v>
      </c>
    </row>
    <row r="35" spans="2:8" ht="12.75">
      <c r="B35" s="272"/>
      <c r="C35" s="274"/>
      <c r="D35" s="256"/>
      <c r="E35" s="256"/>
      <c r="F35" s="256"/>
      <c r="G35" s="265">
        <v>22</v>
      </c>
      <c r="H35" s="269">
        <f t="shared" si="1"/>
        <v>2.258702328330592E-07</v>
      </c>
    </row>
    <row r="36" spans="2:8" ht="12.75">
      <c r="B36" s="272"/>
      <c r="C36" s="274"/>
      <c r="D36" s="256"/>
      <c r="E36" s="256"/>
      <c r="F36" s="256"/>
      <c r="G36" s="265">
        <v>23</v>
      </c>
      <c r="H36" s="269">
        <f t="shared" si="1"/>
        <v>1.129351164165296E-07</v>
      </c>
    </row>
    <row r="37" spans="2:8" ht="12.75">
      <c r="B37" s="272"/>
      <c r="C37" s="274"/>
      <c r="D37" s="256"/>
      <c r="E37" s="256"/>
      <c r="F37" s="256"/>
      <c r="G37" s="265">
        <v>24</v>
      </c>
      <c r="H37" s="269">
        <f t="shared" si="1"/>
        <v>5.64675582082648E-08</v>
      </c>
    </row>
    <row r="38" spans="2:8" ht="13.5" thickBot="1">
      <c r="B38" s="272"/>
      <c r="C38" s="274"/>
      <c r="D38" s="256"/>
      <c r="E38" s="256"/>
      <c r="F38" s="256"/>
      <c r="G38" s="265">
        <v>25</v>
      </c>
      <c r="H38" s="278">
        <f t="shared" si="1"/>
        <v>2.82337791041324E-08</v>
      </c>
    </row>
    <row r="39" spans="2:7" ht="12.75">
      <c r="B39" s="272"/>
      <c r="C39" s="274"/>
      <c r="D39" s="256"/>
      <c r="E39" s="256"/>
      <c r="F39" s="256"/>
      <c r="G39" s="272"/>
    </row>
    <row r="40" spans="2:7" ht="12.75">
      <c r="B40" s="272"/>
      <c r="C40" s="274"/>
      <c r="D40" s="256"/>
      <c r="E40" s="256"/>
      <c r="F40" s="256"/>
      <c r="G40" s="272"/>
    </row>
    <row r="41" spans="2:7" ht="12.75">
      <c r="B41" s="272"/>
      <c r="C41" s="274"/>
      <c r="D41" s="256"/>
      <c r="E41" s="256"/>
      <c r="F41" s="256"/>
      <c r="G41" s="272"/>
    </row>
    <row r="42" spans="2:7" ht="12.75">
      <c r="B42" s="272"/>
      <c r="C42" s="274"/>
      <c r="D42" s="256"/>
      <c r="E42" s="256"/>
      <c r="F42" s="256"/>
      <c r="G42" s="272"/>
    </row>
    <row r="43" spans="2:7" ht="12.75">
      <c r="B43" s="272"/>
      <c r="C43" s="274"/>
      <c r="D43" s="256"/>
      <c r="E43" s="256"/>
      <c r="F43" s="256"/>
      <c r="G43" s="272"/>
    </row>
    <row r="44" spans="2:7" ht="12.75">
      <c r="B44" s="272"/>
      <c r="C44" s="274"/>
      <c r="D44" s="256"/>
      <c r="E44" s="256"/>
      <c r="F44" s="256"/>
      <c r="G44" s="272"/>
    </row>
    <row r="45" spans="2:7" ht="12.75">
      <c r="B45" s="272"/>
      <c r="C45" s="274"/>
      <c r="D45" s="256"/>
      <c r="E45" s="256"/>
      <c r="F45" s="256"/>
      <c r="G45" s="272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C4" sqref="C4"/>
    </sheetView>
  </sheetViews>
  <sheetFormatPr defaultColWidth="9.00390625" defaultRowHeight="12"/>
  <cols>
    <col min="1" max="1" width="3.125" style="286" customWidth="1"/>
    <col min="2" max="2" width="15.00390625" style="284" customWidth="1"/>
    <col min="3" max="3" width="11.00390625" style="285" customWidth="1"/>
    <col min="4" max="4" width="20.375" style="286" customWidth="1"/>
    <col min="5" max="5" width="29.25390625" style="286" customWidth="1"/>
    <col min="6" max="6" width="5.75390625" style="284" bestFit="1" customWidth="1"/>
    <col min="7" max="7" width="14.00390625" style="286" bestFit="1" customWidth="1"/>
    <col min="8" max="8" width="6.75390625" style="286" customWidth="1"/>
    <col min="9" max="9" width="14.375" style="286" bestFit="1" customWidth="1"/>
    <col min="10" max="10" width="9.25390625" style="286" bestFit="1" customWidth="1"/>
    <col min="11" max="16384" width="12.375" style="286" customWidth="1"/>
  </cols>
  <sheetData>
    <row r="1" ht="18">
      <c r="A1" s="283" t="s">
        <v>258</v>
      </c>
    </row>
    <row r="2" ht="13.5" thickBot="1"/>
    <row r="3" spans="1:10" ht="13.5" thickBot="1">
      <c r="A3" s="287"/>
      <c r="C3" s="288" t="s">
        <v>499</v>
      </c>
      <c r="G3" s="289" t="s">
        <v>500</v>
      </c>
      <c r="I3" s="290" t="s">
        <v>501</v>
      </c>
      <c r="J3" s="291" t="s">
        <v>502</v>
      </c>
    </row>
    <row r="4" spans="1:10" ht="12.75">
      <c r="A4" s="287"/>
      <c r="B4" s="292" t="s">
        <v>503</v>
      </c>
      <c r="C4" s="293">
        <v>30</v>
      </c>
      <c r="D4" s="294" t="s">
        <v>504</v>
      </c>
      <c r="E4" s="294"/>
      <c r="F4" s="295" t="s">
        <v>505</v>
      </c>
      <c r="G4" s="296">
        <f>IF(Rho&lt;1,Lq+Lambda/Mu,NA())</f>
        <v>1.736842105263158</v>
      </c>
      <c r="I4" s="297" t="s">
        <v>379</v>
      </c>
      <c r="J4" s="298" t="s">
        <v>380</v>
      </c>
    </row>
    <row r="5" spans="1:10" ht="15.75">
      <c r="A5" s="287"/>
      <c r="B5" s="292" t="s">
        <v>508</v>
      </c>
      <c r="C5" s="293">
        <v>20</v>
      </c>
      <c r="D5" s="294" t="s">
        <v>509</v>
      </c>
      <c r="E5" s="294"/>
      <c r="F5" s="295" t="s">
        <v>254</v>
      </c>
      <c r="G5" s="299">
        <f>IF(Rho&lt;1,Lambda*Mu*((Lambda/Mu)^s)/(FACT(s-1)*(s*Mu-Lambda)^2/P0),NA())</f>
        <v>0.23684210526315788</v>
      </c>
      <c r="I5" s="300" t="s">
        <v>381</v>
      </c>
      <c r="J5" s="301" t="s">
        <v>382</v>
      </c>
    </row>
    <row r="6" spans="1:10" ht="12.75">
      <c r="A6" s="287"/>
      <c r="B6" s="302" t="s">
        <v>512</v>
      </c>
      <c r="C6" s="293">
        <v>3</v>
      </c>
      <c r="D6" s="294" t="s">
        <v>513</v>
      </c>
      <c r="E6" s="294"/>
      <c r="F6" s="295"/>
      <c r="G6" s="299"/>
      <c r="I6" s="300" t="s">
        <v>383</v>
      </c>
      <c r="J6" s="301" t="s">
        <v>384</v>
      </c>
    </row>
    <row r="7" spans="1:10" ht="13.5" thickBot="1">
      <c r="A7" s="287"/>
      <c r="B7" s="302"/>
      <c r="C7" s="303"/>
      <c r="D7" s="294"/>
      <c r="E7" s="294"/>
      <c r="F7" s="295" t="s">
        <v>516</v>
      </c>
      <c r="G7" s="299">
        <f>IF(Rho&lt;1,L/Lambda,NA())</f>
        <v>0.05789473684210526</v>
      </c>
      <c r="I7" s="300" t="s">
        <v>385</v>
      </c>
      <c r="J7" s="301" t="s">
        <v>386</v>
      </c>
    </row>
    <row r="8" spans="1:10" ht="16.5" thickBot="1">
      <c r="A8" s="287"/>
      <c r="B8" s="295" t="s">
        <v>519</v>
      </c>
      <c r="C8" s="304">
        <f>IF((s-1-Lambda/Mu)=0,EXP(-Mu*Time1)*(1+P0*((Lambda/Mu)^s)/(FACT(s)*(1-Rho))*Mu*C9),EXP(-Mu*Time1)*(1+P0*((Lambda/Mu)^s)/(FACT(s)*(1-Rho))*(1-EXP(-Mu*Time1*(s-1-Lambda/Mu)))/(s-1-Lambda/Mu)))</f>
        <v>0.2394606258861391</v>
      </c>
      <c r="D8" s="294"/>
      <c r="E8" s="294"/>
      <c r="F8" s="295" t="s">
        <v>255</v>
      </c>
      <c r="G8" s="299">
        <f>IF(Rho&lt;1,Lq/Lambda,NA())</f>
        <v>0.007894736842105263</v>
      </c>
      <c r="I8" s="300" t="s">
        <v>506</v>
      </c>
      <c r="J8" s="301" t="s">
        <v>507</v>
      </c>
    </row>
    <row r="9" spans="1:10" ht="12.75">
      <c r="A9" s="287"/>
      <c r="B9" s="302" t="s">
        <v>522</v>
      </c>
      <c r="C9" s="293">
        <f>5/60</f>
        <v>0.08333333333333333</v>
      </c>
      <c r="D9" s="294"/>
      <c r="E9" s="305">
        <f>IF(Rho&gt;=1,"Model invalid because:","")</f>
      </c>
      <c r="F9" s="295"/>
      <c r="G9" s="299"/>
      <c r="I9" s="300" t="s">
        <v>510</v>
      </c>
      <c r="J9" s="301" t="s">
        <v>511</v>
      </c>
    </row>
    <row r="10" spans="1:10" ht="13.5" thickBot="1">
      <c r="A10" s="287"/>
      <c r="B10" s="302"/>
      <c r="C10" s="303"/>
      <c r="D10" s="294"/>
      <c r="E10" s="305">
        <f>IF(Rho&gt;=1,"   r   &gt;=   1","")</f>
      </c>
      <c r="F10" s="306" t="s">
        <v>525</v>
      </c>
      <c r="G10" s="307">
        <f>Lambda/(s*Mu)</f>
        <v>0.5</v>
      </c>
      <c r="I10" s="300" t="s">
        <v>514</v>
      </c>
      <c r="J10" s="301" t="s">
        <v>515</v>
      </c>
    </row>
    <row r="11" spans="1:10" ht="16.5" thickBot="1">
      <c r="A11" s="287"/>
      <c r="B11" s="295" t="s">
        <v>256</v>
      </c>
      <c r="C11" s="304">
        <f ca="1">(1-SUM(OFFSET(P0,0,0,s,1)))*EXP(-s*Mu*(1-Rho)*Time2)</f>
        <v>0.019441183884607617</v>
      </c>
      <c r="D11" s="294"/>
      <c r="E11" s="294"/>
      <c r="F11" s="302"/>
      <c r="G11" s="294"/>
      <c r="I11" s="300" t="s">
        <v>517</v>
      </c>
      <c r="J11" s="301" t="s">
        <v>518</v>
      </c>
    </row>
    <row r="12" spans="1:10" ht="16.5" thickBot="1">
      <c r="A12" s="287"/>
      <c r="B12" s="302" t="s">
        <v>522</v>
      </c>
      <c r="C12" s="293">
        <f>5/60</f>
        <v>0.08333333333333333</v>
      </c>
      <c r="D12" s="294"/>
      <c r="E12" s="294"/>
      <c r="F12" s="308" t="s">
        <v>520</v>
      </c>
      <c r="G12" s="309" t="s">
        <v>257</v>
      </c>
      <c r="I12" s="300" t="s">
        <v>520</v>
      </c>
      <c r="J12" s="301" t="s">
        <v>521</v>
      </c>
    </row>
    <row r="13" spans="1:10" ht="12.75">
      <c r="A13" s="310">
        <f aca="true" t="shared" si="0" ref="A13:A38">IF(F13&lt;=s-1,((Lambda/Mu)^F13)/FACT(F13),0)</f>
        <v>1</v>
      </c>
      <c r="B13" s="302"/>
      <c r="C13" s="303"/>
      <c r="D13" s="294"/>
      <c r="E13" s="294"/>
      <c r="F13" s="295">
        <v>0</v>
      </c>
      <c r="G13" s="296">
        <f>IF(Rho&lt;1,1/(SUM(A13:A38)+((Lambda/Mu)^s)/(FACT(s)*(1-Lambda/(s*Mu)))),NA())</f>
        <v>0.21052631578947367</v>
      </c>
      <c r="I13" s="300" t="s">
        <v>523</v>
      </c>
      <c r="J13" s="301" t="s">
        <v>524</v>
      </c>
    </row>
    <row r="14" spans="1:10" ht="12.75">
      <c r="A14" s="310">
        <f t="shared" si="0"/>
        <v>1.5</v>
      </c>
      <c r="B14" s="305" t="s">
        <v>387</v>
      </c>
      <c r="C14" s="294"/>
      <c r="D14" s="294"/>
      <c r="E14" s="294"/>
      <c r="F14" s="295">
        <v>1</v>
      </c>
      <c r="G14" s="299">
        <f aca="true" t="shared" si="1" ref="G14:G38">IF(Rho&lt;1,IF(s=1,(1-Rho)*Rho^n,IF(s&gt;=n,((Lambda/Mu)^n)*P0/FACT(n),((Lambda/Mu)^n)*P0/(FACT(s)*(s^(n-s))))),NA())</f>
        <v>0.3157894736842105</v>
      </c>
      <c r="I14" s="300" t="s">
        <v>526</v>
      </c>
      <c r="J14" s="301" t="s">
        <v>527</v>
      </c>
    </row>
    <row r="15" spans="1:10" ht="12.75">
      <c r="A15" s="310">
        <f t="shared" si="0"/>
        <v>1.125</v>
      </c>
      <c r="B15" s="302" t="s">
        <v>388</v>
      </c>
      <c r="C15" s="311">
        <v>18</v>
      </c>
      <c r="D15" s="294" t="s">
        <v>389</v>
      </c>
      <c r="E15" s="294"/>
      <c r="F15" s="295">
        <v>2</v>
      </c>
      <c r="G15" s="299">
        <f t="shared" si="1"/>
        <v>0.23684210526315788</v>
      </c>
      <c r="I15" s="300" t="s">
        <v>528</v>
      </c>
      <c r="J15" s="301" t="s">
        <v>529</v>
      </c>
    </row>
    <row r="16" spans="1:10" ht="12.75">
      <c r="A16" s="310">
        <f t="shared" si="0"/>
        <v>0</v>
      </c>
      <c r="B16" s="302" t="s">
        <v>390</v>
      </c>
      <c r="C16" s="311">
        <v>30</v>
      </c>
      <c r="D16" s="294" t="s">
        <v>391</v>
      </c>
      <c r="E16" s="294"/>
      <c r="F16" s="295">
        <v>3</v>
      </c>
      <c r="G16" s="299">
        <f t="shared" si="1"/>
        <v>0.11842105263157894</v>
      </c>
      <c r="I16" s="300" t="s">
        <v>530</v>
      </c>
      <c r="J16" s="301" t="s">
        <v>245</v>
      </c>
    </row>
    <row r="17" spans="1:10" ht="12.75">
      <c r="A17" s="310">
        <f t="shared" si="0"/>
        <v>0</v>
      </c>
      <c r="B17" s="294"/>
      <c r="C17" s="303"/>
      <c r="D17" s="294"/>
      <c r="E17" s="294"/>
      <c r="F17" s="295">
        <v>4</v>
      </c>
      <c r="G17" s="299">
        <f t="shared" si="1"/>
        <v>0.05921052631578946</v>
      </c>
      <c r="I17" s="300" t="s">
        <v>246</v>
      </c>
      <c r="J17" s="301" t="s">
        <v>247</v>
      </c>
    </row>
    <row r="18" spans="1:10" ht="12.75">
      <c r="A18" s="310">
        <f t="shared" si="0"/>
        <v>0</v>
      </c>
      <c r="B18" s="302" t="s">
        <v>392</v>
      </c>
      <c r="C18" s="312">
        <f>Cs*s</f>
        <v>54</v>
      </c>
      <c r="D18" s="294"/>
      <c r="E18" s="294"/>
      <c r="F18" s="295">
        <v>5</v>
      </c>
      <c r="G18" s="299">
        <f t="shared" si="1"/>
        <v>0.029605263157894735</v>
      </c>
      <c r="I18" s="300" t="s">
        <v>248</v>
      </c>
      <c r="J18" s="301" t="s">
        <v>249</v>
      </c>
    </row>
    <row r="19" spans="1:10" ht="13.5" thickBot="1">
      <c r="A19" s="310">
        <f t="shared" si="0"/>
        <v>0</v>
      </c>
      <c r="B19" s="302" t="s">
        <v>393</v>
      </c>
      <c r="C19" s="312">
        <f>Cw*L</f>
        <v>52.10526315789474</v>
      </c>
      <c r="D19" s="294"/>
      <c r="E19" s="294"/>
      <c r="F19" s="295">
        <v>6</v>
      </c>
      <c r="G19" s="299">
        <f t="shared" si="1"/>
        <v>0.014802631578947368</v>
      </c>
      <c r="I19" s="300" t="s">
        <v>394</v>
      </c>
      <c r="J19" s="301" t="s">
        <v>395</v>
      </c>
    </row>
    <row r="20" spans="1:10" ht="13.5" thickBot="1">
      <c r="A20" s="310">
        <f t="shared" si="0"/>
        <v>0</v>
      </c>
      <c r="B20" s="302" t="s">
        <v>265</v>
      </c>
      <c r="C20" s="313">
        <f>CostOfService+CostOfWaiting</f>
        <v>106.10526315789474</v>
      </c>
      <c r="D20" s="294"/>
      <c r="E20" s="294"/>
      <c r="F20" s="295">
        <v>7</v>
      </c>
      <c r="G20" s="299">
        <f t="shared" si="1"/>
        <v>0.007401315789473684</v>
      </c>
      <c r="I20" s="300" t="s">
        <v>250</v>
      </c>
      <c r="J20" s="301" t="s">
        <v>251</v>
      </c>
    </row>
    <row r="21" spans="1:10" ht="13.5" thickBot="1">
      <c r="A21" s="310">
        <f t="shared" si="0"/>
        <v>0</v>
      </c>
      <c r="B21" s="302"/>
      <c r="C21" s="303"/>
      <c r="D21" s="294"/>
      <c r="E21" s="294"/>
      <c r="F21" s="295">
        <v>8</v>
      </c>
      <c r="G21" s="299">
        <f t="shared" si="1"/>
        <v>0.0037006578947368423</v>
      </c>
      <c r="I21" s="314" t="s">
        <v>252</v>
      </c>
      <c r="J21" s="315" t="s">
        <v>253</v>
      </c>
    </row>
    <row r="22" spans="1:7" ht="12.75">
      <c r="A22" s="310">
        <f t="shared" si="0"/>
        <v>0</v>
      </c>
      <c r="B22" s="302"/>
      <c r="C22" s="303"/>
      <c r="D22" s="294"/>
      <c r="E22" s="294"/>
      <c r="F22" s="295">
        <v>9</v>
      </c>
      <c r="G22" s="299">
        <f t="shared" si="1"/>
        <v>0.0018503289473684207</v>
      </c>
    </row>
    <row r="23" spans="1:7" ht="12.75">
      <c r="A23" s="310">
        <f t="shared" si="0"/>
        <v>0</v>
      </c>
      <c r="B23" s="302"/>
      <c r="C23" s="303"/>
      <c r="D23" s="294"/>
      <c r="E23" s="294"/>
      <c r="F23" s="295">
        <v>10</v>
      </c>
      <c r="G23" s="299">
        <f t="shared" si="1"/>
        <v>0.0009251644736842106</v>
      </c>
    </row>
    <row r="24" spans="1:7" ht="12.75">
      <c r="A24" s="310">
        <f t="shared" si="0"/>
        <v>0</v>
      </c>
      <c r="B24" s="302"/>
      <c r="C24" s="303"/>
      <c r="D24" s="294"/>
      <c r="E24" s="294"/>
      <c r="F24" s="295">
        <v>11</v>
      </c>
      <c r="G24" s="299">
        <f t="shared" si="1"/>
        <v>0.00046258223684210524</v>
      </c>
    </row>
    <row r="25" spans="1:7" ht="12.75">
      <c r="A25" s="310">
        <f t="shared" si="0"/>
        <v>0</v>
      </c>
      <c r="B25" s="302"/>
      <c r="C25" s="303"/>
      <c r="D25" s="294"/>
      <c r="E25" s="294"/>
      <c r="F25" s="295">
        <v>12</v>
      </c>
      <c r="G25" s="299">
        <f t="shared" si="1"/>
        <v>0.00023129111842105262</v>
      </c>
    </row>
    <row r="26" spans="1:7" ht="12.75">
      <c r="A26" s="310">
        <f t="shared" si="0"/>
        <v>0</v>
      </c>
      <c r="B26" s="302"/>
      <c r="C26" s="303"/>
      <c r="D26" s="294"/>
      <c r="E26" s="294"/>
      <c r="F26" s="295">
        <v>13</v>
      </c>
      <c r="G26" s="299">
        <f t="shared" si="1"/>
        <v>0.0001156455592105263</v>
      </c>
    </row>
    <row r="27" spans="1:7" ht="12.75">
      <c r="A27" s="310">
        <f t="shared" si="0"/>
        <v>0</v>
      </c>
      <c r="B27" s="302"/>
      <c r="C27" s="303"/>
      <c r="D27" s="294"/>
      <c r="E27" s="294"/>
      <c r="F27" s="295">
        <v>14</v>
      </c>
      <c r="G27" s="299">
        <f t="shared" si="1"/>
        <v>5.7822779605263155E-05</v>
      </c>
    </row>
    <row r="28" spans="1:7" ht="12.75">
      <c r="A28" s="310">
        <f t="shared" si="0"/>
        <v>0</v>
      </c>
      <c r="B28" s="302"/>
      <c r="C28" s="303"/>
      <c r="D28" s="294"/>
      <c r="E28" s="294"/>
      <c r="F28" s="295">
        <v>15</v>
      </c>
      <c r="G28" s="299">
        <f t="shared" si="1"/>
        <v>2.8911389802631577E-05</v>
      </c>
    </row>
    <row r="29" spans="1:7" ht="12.75">
      <c r="A29" s="310">
        <f t="shared" si="0"/>
        <v>0</v>
      </c>
      <c r="B29" s="302"/>
      <c r="C29" s="303"/>
      <c r="D29" s="294"/>
      <c r="E29" s="294"/>
      <c r="F29" s="295">
        <v>16</v>
      </c>
      <c r="G29" s="299">
        <f t="shared" si="1"/>
        <v>1.4455694901315787E-05</v>
      </c>
    </row>
    <row r="30" spans="1:7" ht="12.75">
      <c r="A30" s="310">
        <f t="shared" si="0"/>
        <v>0</v>
      </c>
      <c r="B30" s="302"/>
      <c r="C30" s="303"/>
      <c r="D30" s="294"/>
      <c r="E30" s="294"/>
      <c r="F30" s="295">
        <v>17</v>
      </c>
      <c r="G30" s="299">
        <f t="shared" si="1"/>
        <v>7.227847450657894E-06</v>
      </c>
    </row>
    <row r="31" spans="1:7" ht="12.75">
      <c r="A31" s="310">
        <f t="shared" si="0"/>
        <v>0</v>
      </c>
      <c r="B31" s="302"/>
      <c r="C31" s="303"/>
      <c r="D31" s="294"/>
      <c r="E31" s="294"/>
      <c r="F31" s="295">
        <v>18</v>
      </c>
      <c r="G31" s="299">
        <f t="shared" si="1"/>
        <v>3.6139237253289476E-06</v>
      </c>
    </row>
    <row r="32" spans="1:7" ht="12.75">
      <c r="A32" s="310">
        <f t="shared" si="0"/>
        <v>0</v>
      </c>
      <c r="B32" s="302"/>
      <c r="C32" s="303"/>
      <c r="D32" s="294"/>
      <c r="E32" s="294"/>
      <c r="F32" s="295">
        <v>19</v>
      </c>
      <c r="G32" s="299">
        <f t="shared" si="1"/>
        <v>1.8069618626644736E-06</v>
      </c>
    </row>
    <row r="33" spans="1:7" ht="12.75">
      <c r="A33" s="310">
        <f t="shared" si="0"/>
        <v>0</v>
      </c>
      <c r="B33" s="302"/>
      <c r="C33" s="303"/>
      <c r="D33" s="294"/>
      <c r="E33" s="294"/>
      <c r="F33" s="295">
        <v>20</v>
      </c>
      <c r="G33" s="299">
        <f t="shared" si="1"/>
        <v>9.034809313322368E-07</v>
      </c>
    </row>
    <row r="34" spans="1:7" ht="12.75">
      <c r="A34" s="310">
        <f t="shared" si="0"/>
        <v>0</v>
      </c>
      <c r="B34" s="302"/>
      <c r="C34" s="303"/>
      <c r="D34" s="294"/>
      <c r="E34" s="294"/>
      <c r="F34" s="295">
        <v>21</v>
      </c>
      <c r="G34" s="299">
        <f t="shared" si="1"/>
        <v>4.517404656661184E-07</v>
      </c>
    </row>
    <row r="35" spans="1:7" ht="12.75">
      <c r="A35" s="310">
        <f t="shared" si="0"/>
        <v>0</v>
      </c>
      <c r="B35" s="302"/>
      <c r="C35" s="303"/>
      <c r="D35" s="294"/>
      <c r="E35" s="294"/>
      <c r="F35" s="295">
        <v>22</v>
      </c>
      <c r="G35" s="299">
        <f t="shared" si="1"/>
        <v>2.258702328330592E-07</v>
      </c>
    </row>
    <row r="36" spans="1:7" ht="12.75">
      <c r="A36" s="310">
        <f t="shared" si="0"/>
        <v>0</v>
      </c>
      <c r="B36" s="302"/>
      <c r="C36" s="303"/>
      <c r="D36" s="294"/>
      <c r="E36" s="294"/>
      <c r="F36" s="295">
        <v>23</v>
      </c>
      <c r="G36" s="299">
        <f t="shared" si="1"/>
        <v>1.129351164165296E-07</v>
      </c>
    </row>
    <row r="37" spans="1:7" ht="12.75">
      <c r="A37" s="310">
        <f t="shared" si="0"/>
        <v>0</v>
      </c>
      <c r="B37" s="302"/>
      <c r="C37" s="303"/>
      <c r="D37" s="294"/>
      <c r="E37" s="294"/>
      <c r="F37" s="295">
        <v>24</v>
      </c>
      <c r="G37" s="299">
        <f t="shared" si="1"/>
        <v>5.64675582082648E-08</v>
      </c>
    </row>
    <row r="38" spans="1:7" ht="13.5" thickBot="1">
      <c r="A38" s="310">
        <f t="shared" si="0"/>
        <v>0</v>
      </c>
      <c r="B38" s="302"/>
      <c r="C38" s="303"/>
      <c r="D38" s="294"/>
      <c r="E38" s="294"/>
      <c r="F38" s="295">
        <v>25</v>
      </c>
      <c r="G38" s="307">
        <f t="shared" si="1"/>
        <v>2.82337791041324E-08</v>
      </c>
    </row>
    <row r="39" spans="2:7" ht="12.75">
      <c r="B39" s="302"/>
      <c r="C39" s="303"/>
      <c r="D39" s="294"/>
      <c r="E39" s="294"/>
      <c r="F39" s="302"/>
      <c r="G39" s="294"/>
    </row>
    <row r="40" spans="2:7" ht="12.75">
      <c r="B40" s="302"/>
      <c r="C40" s="303"/>
      <c r="D40" s="294"/>
      <c r="E40" s="294"/>
      <c r="F40" s="302"/>
      <c r="G40" s="294"/>
    </row>
    <row r="41" spans="2:7" ht="12.75">
      <c r="B41" s="302"/>
      <c r="C41" s="303"/>
      <c r="D41" s="294"/>
      <c r="E41" s="294"/>
      <c r="F41" s="302"/>
      <c r="G41" s="294"/>
    </row>
    <row r="42" spans="2:7" ht="12.75">
      <c r="B42" s="302"/>
      <c r="C42" s="303"/>
      <c r="D42" s="294"/>
      <c r="E42" s="294"/>
      <c r="F42" s="302"/>
      <c r="G42" s="294"/>
    </row>
    <row r="43" spans="2:7" ht="12.75">
      <c r="B43" s="302"/>
      <c r="C43" s="303"/>
      <c r="D43" s="294"/>
      <c r="E43" s="294"/>
      <c r="F43" s="302"/>
      <c r="G43" s="294"/>
    </row>
    <row r="44" spans="2:7" ht="12.75">
      <c r="B44" s="302"/>
      <c r="C44" s="303"/>
      <c r="D44" s="294"/>
      <c r="E44" s="294"/>
      <c r="F44" s="302"/>
      <c r="G44" s="294"/>
    </row>
    <row r="45" spans="2:7" ht="12.75">
      <c r="B45" s="302"/>
      <c r="C45" s="303"/>
      <c r="D45" s="294"/>
      <c r="E45" s="294"/>
      <c r="F45" s="302"/>
      <c r="G45" s="294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88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C6" sqref="C6"/>
    </sheetView>
  </sheetViews>
  <sheetFormatPr defaultColWidth="9.00390625" defaultRowHeight="12"/>
  <cols>
    <col min="1" max="1" width="3.125" style="255" customWidth="1"/>
    <col min="2" max="2" width="15.00390625" style="253" customWidth="1"/>
    <col min="3" max="3" width="11.00390625" style="254" customWidth="1"/>
    <col min="4" max="4" width="20.375" style="255" customWidth="1"/>
    <col min="5" max="5" width="31.375" style="255" customWidth="1"/>
    <col min="6" max="6" width="29.25390625" style="255" hidden="1" customWidth="1"/>
    <col min="7" max="7" width="5.75390625" style="253" bestFit="1" customWidth="1"/>
    <col min="8" max="8" width="14.00390625" style="256" bestFit="1" customWidth="1"/>
    <col min="9" max="9" width="12.375" style="255" customWidth="1"/>
    <col min="10" max="10" width="13.125" style="255" bestFit="1" customWidth="1"/>
    <col min="11" max="11" width="9.25390625" style="255" bestFit="1" customWidth="1"/>
    <col min="12" max="16384" width="12.375" style="255" customWidth="1"/>
  </cols>
  <sheetData>
    <row r="1" ht="18">
      <c r="A1" s="252" t="s">
        <v>498</v>
      </c>
    </row>
    <row r="2" ht="13.5" thickBot="1"/>
    <row r="3" spans="1:11" ht="13.5" thickBot="1">
      <c r="A3" s="257"/>
      <c r="C3" s="258" t="s">
        <v>499</v>
      </c>
      <c r="H3" s="259" t="s">
        <v>500</v>
      </c>
      <c r="J3" s="260" t="s">
        <v>501</v>
      </c>
      <c r="K3" s="261" t="s">
        <v>502</v>
      </c>
    </row>
    <row r="4" spans="1:11" ht="12.75">
      <c r="A4" s="257"/>
      <c r="B4" s="262" t="s">
        <v>503</v>
      </c>
      <c r="C4" s="263">
        <v>15</v>
      </c>
      <c r="D4" s="256" t="s">
        <v>504</v>
      </c>
      <c r="E4" s="256"/>
      <c r="F4" s="264">
        <f aca="true" t="shared" si="0" ref="F4:F29">IF(G13&lt;=s-1,((Lambda/Mu)^G13)/FACT(G13),0)</f>
        <v>1</v>
      </c>
      <c r="G4" s="265" t="s">
        <v>505</v>
      </c>
      <c r="H4" s="266">
        <f>IF(Rho&lt;1,Lq+Lambda/Mu,NA())</f>
        <v>3</v>
      </c>
      <c r="J4" s="267" t="s">
        <v>506</v>
      </c>
      <c r="K4" s="268" t="s">
        <v>507</v>
      </c>
    </row>
    <row r="5" spans="1:11" ht="15.75">
      <c r="A5" s="257"/>
      <c r="B5" s="262" t="s">
        <v>508</v>
      </c>
      <c r="C5" s="263">
        <v>20</v>
      </c>
      <c r="D5" s="256" t="s">
        <v>509</v>
      </c>
      <c r="E5" s="256"/>
      <c r="F5" s="264">
        <f t="shared" si="0"/>
        <v>0</v>
      </c>
      <c r="G5" s="265" t="s">
        <v>254</v>
      </c>
      <c r="H5" s="269">
        <f>IF(Rho&lt;1,Lambda*Mu*((Lambda/Mu)^s)/(FACT(s-1)*(s*Mu-Lambda)^2/P0),NA())</f>
        <v>2.25</v>
      </c>
      <c r="J5" s="270" t="s">
        <v>510</v>
      </c>
      <c r="K5" s="271" t="s">
        <v>511</v>
      </c>
    </row>
    <row r="6" spans="1:11" ht="12.75">
      <c r="A6" s="257"/>
      <c r="B6" s="272" t="s">
        <v>512</v>
      </c>
      <c r="C6" s="263">
        <v>1</v>
      </c>
      <c r="D6" s="256" t="s">
        <v>513</v>
      </c>
      <c r="E6" s="256"/>
      <c r="F6" s="264">
        <f t="shared" si="0"/>
        <v>0</v>
      </c>
      <c r="G6" s="265"/>
      <c r="H6" s="269"/>
      <c r="I6" s="273"/>
      <c r="J6" s="270" t="s">
        <v>514</v>
      </c>
      <c r="K6" s="271" t="s">
        <v>515</v>
      </c>
    </row>
    <row r="7" spans="1:11" ht="13.5" thickBot="1">
      <c r="A7" s="257"/>
      <c r="B7" s="272"/>
      <c r="C7" s="274"/>
      <c r="D7" s="256"/>
      <c r="E7" s="256"/>
      <c r="F7" s="264">
        <f t="shared" si="0"/>
        <v>0</v>
      </c>
      <c r="G7" s="265" t="s">
        <v>516</v>
      </c>
      <c r="H7" s="269">
        <f>IF(Rho&lt;1,L/Lambda,NA())</f>
        <v>0.2</v>
      </c>
      <c r="I7" s="254"/>
      <c r="J7" s="270" t="s">
        <v>517</v>
      </c>
      <c r="K7" s="271" t="s">
        <v>518</v>
      </c>
    </row>
    <row r="8" spans="1:11" ht="16.5" thickBot="1">
      <c r="A8" s="257"/>
      <c r="B8" s="265" t="s">
        <v>519</v>
      </c>
      <c r="C8" s="275">
        <f>IF((s-1-Lambda/Mu)=0,EXP(-Mu*C9)*(1+P0*((Lambda/Mu)^s)/(FACT(s)*(1-Rho))*Mu*C9),EXP(-Mu*C9)*(1+P0*((Lambda/Mu)^s)/(FACT(s)*(1-Rho))*(1-EXP(-Mu*C9*(s-1-Lambda/Mu)))/(s-1-Lambda/Mu)))</f>
        <v>0.6592406302004438</v>
      </c>
      <c r="D8" s="256"/>
      <c r="E8" s="256"/>
      <c r="F8" s="264">
        <f t="shared" si="0"/>
        <v>0</v>
      </c>
      <c r="G8" s="265" t="s">
        <v>255</v>
      </c>
      <c r="H8" s="269">
        <f>IF(Rho&lt;1,Lq/Lambda,NA())</f>
        <v>0.15</v>
      </c>
      <c r="I8" s="254"/>
      <c r="J8" s="270" t="s">
        <v>520</v>
      </c>
      <c r="K8" s="271" t="s">
        <v>521</v>
      </c>
    </row>
    <row r="9" spans="1:11" ht="12.75">
      <c r="A9" s="257"/>
      <c r="B9" s="272" t="s">
        <v>522</v>
      </c>
      <c r="C9" s="263">
        <f>5/60</f>
        <v>0.08333333333333333</v>
      </c>
      <c r="D9" s="256"/>
      <c r="E9" s="276">
        <f>IF(Rho&gt;=1,"Model invalid because:","")</f>
      </c>
      <c r="F9" s="264">
        <f t="shared" si="0"/>
        <v>0</v>
      </c>
      <c r="G9" s="265"/>
      <c r="H9" s="269"/>
      <c r="J9" s="270" t="s">
        <v>523</v>
      </c>
      <c r="K9" s="271" t="s">
        <v>524</v>
      </c>
    </row>
    <row r="10" spans="1:11" ht="13.5" thickBot="1">
      <c r="A10" s="257"/>
      <c r="B10" s="272"/>
      <c r="C10" s="274"/>
      <c r="D10" s="256"/>
      <c r="E10" s="276">
        <f>IF(Rho&gt;=1,"   r   &gt;=   1","")</f>
      </c>
      <c r="F10" s="264">
        <f t="shared" si="0"/>
        <v>0</v>
      </c>
      <c r="G10" s="277" t="s">
        <v>525</v>
      </c>
      <c r="H10" s="278">
        <f>Lambda/(s*Mu)</f>
        <v>0.75</v>
      </c>
      <c r="J10" s="270" t="s">
        <v>526</v>
      </c>
      <c r="K10" s="271" t="s">
        <v>527</v>
      </c>
    </row>
    <row r="11" spans="1:11" ht="16.5" thickBot="1">
      <c r="A11" s="257"/>
      <c r="B11" s="265" t="s">
        <v>256</v>
      </c>
      <c r="C11" s="275">
        <f ca="1">(1-SUM(OFFSET(P0,0,0,s,1)))*EXP(-s*Mu*(1-Rho)*C12)</f>
        <v>0.4944304726503328</v>
      </c>
      <c r="D11" s="256"/>
      <c r="E11" s="256"/>
      <c r="F11" s="264">
        <f t="shared" si="0"/>
        <v>0</v>
      </c>
      <c r="G11" s="272"/>
      <c r="J11" s="270" t="s">
        <v>528</v>
      </c>
      <c r="K11" s="271" t="s">
        <v>529</v>
      </c>
    </row>
    <row r="12" spans="1:11" ht="16.5" thickBot="1">
      <c r="A12" s="257"/>
      <c r="B12" s="272" t="s">
        <v>522</v>
      </c>
      <c r="C12" s="263">
        <f>5/60</f>
        <v>0.08333333333333333</v>
      </c>
      <c r="D12" s="256"/>
      <c r="E12" s="256"/>
      <c r="F12" s="264">
        <f t="shared" si="0"/>
        <v>0</v>
      </c>
      <c r="G12" s="279" t="s">
        <v>520</v>
      </c>
      <c r="H12" s="280" t="s">
        <v>257</v>
      </c>
      <c r="J12" s="270" t="s">
        <v>530</v>
      </c>
      <c r="K12" s="271" t="s">
        <v>245</v>
      </c>
    </row>
    <row r="13" spans="2:11" ht="12.75">
      <c r="B13" s="272"/>
      <c r="C13" s="274"/>
      <c r="D13" s="256"/>
      <c r="E13" s="256"/>
      <c r="F13" s="264">
        <f t="shared" si="0"/>
        <v>0</v>
      </c>
      <c r="G13" s="265">
        <v>0</v>
      </c>
      <c r="H13" s="266">
        <f>IF(Rho&lt;1,1/(SUM(F4:F29)+((Lambda/Mu)^s)/(FACT(s)*(1-Lambda/(s*Mu)))),NA())</f>
        <v>0.25</v>
      </c>
      <c r="J13" s="270" t="s">
        <v>246</v>
      </c>
      <c r="K13" s="271" t="s">
        <v>247</v>
      </c>
    </row>
    <row r="14" spans="2:11" ht="12.75">
      <c r="B14" s="256"/>
      <c r="C14" s="256"/>
      <c r="D14" s="256"/>
      <c r="E14" s="256"/>
      <c r="F14" s="264">
        <f t="shared" si="0"/>
        <v>0</v>
      </c>
      <c r="G14" s="265">
        <v>1</v>
      </c>
      <c r="H14" s="269">
        <f aca="true" t="shared" si="1" ref="H14:H38">IF(Rho&lt;1,IF(s=1,(1-Rho)*Rho^n,IF(s&gt;=n,((Lambda/Mu)^n)*P0/FACT(n),((Lambda/Mu)^n)*P0/(FACT(s)*(s^(n-s))))),NA())</f>
        <v>0.1875</v>
      </c>
      <c r="J14" s="270" t="s">
        <v>248</v>
      </c>
      <c r="K14" s="271" t="s">
        <v>249</v>
      </c>
    </row>
    <row r="15" spans="2:11" ht="12.75">
      <c r="B15" s="256"/>
      <c r="C15" s="256"/>
      <c r="D15" s="256"/>
      <c r="E15" s="256"/>
      <c r="F15" s="264">
        <f t="shared" si="0"/>
        <v>0</v>
      </c>
      <c r="G15" s="265">
        <v>2</v>
      </c>
      <c r="H15" s="269">
        <f t="shared" si="1"/>
        <v>0.140625</v>
      </c>
      <c r="J15" s="270" t="s">
        <v>250</v>
      </c>
      <c r="K15" s="271" t="s">
        <v>251</v>
      </c>
    </row>
    <row r="16" spans="2:11" ht="13.5" thickBot="1">
      <c r="B16" s="256"/>
      <c r="C16" s="256"/>
      <c r="D16" s="256"/>
      <c r="E16" s="256"/>
      <c r="F16" s="264">
        <f t="shared" si="0"/>
        <v>0</v>
      </c>
      <c r="G16" s="265">
        <v>3</v>
      </c>
      <c r="H16" s="269">
        <f t="shared" si="1"/>
        <v>0.10546875</v>
      </c>
      <c r="J16" s="281" t="s">
        <v>252</v>
      </c>
      <c r="K16" s="282" t="s">
        <v>253</v>
      </c>
    </row>
    <row r="17" spans="2:8" ht="12.75">
      <c r="B17" s="256"/>
      <c r="C17" s="256"/>
      <c r="D17" s="256"/>
      <c r="E17" s="256"/>
      <c r="F17" s="264">
        <f t="shared" si="0"/>
        <v>0</v>
      </c>
      <c r="G17" s="265">
        <v>4</v>
      </c>
      <c r="H17" s="269">
        <f t="shared" si="1"/>
        <v>0.0791015625</v>
      </c>
    </row>
    <row r="18" spans="2:8" ht="12.75">
      <c r="B18" s="256"/>
      <c r="C18" s="274"/>
      <c r="D18" s="256"/>
      <c r="E18" s="256"/>
      <c r="F18" s="264">
        <f t="shared" si="0"/>
        <v>0</v>
      </c>
      <c r="G18" s="265">
        <v>5</v>
      </c>
      <c r="H18" s="269">
        <f t="shared" si="1"/>
        <v>0.059326171875</v>
      </c>
    </row>
    <row r="19" spans="2:8" ht="12.75">
      <c r="B19" s="256"/>
      <c r="C19" s="274"/>
      <c r="D19" s="256"/>
      <c r="E19" s="256"/>
      <c r="F19" s="264">
        <f t="shared" si="0"/>
        <v>0</v>
      </c>
      <c r="G19" s="265">
        <v>6</v>
      </c>
      <c r="H19" s="269">
        <f t="shared" si="1"/>
        <v>0.04449462890625</v>
      </c>
    </row>
    <row r="20" spans="2:8" ht="12.75">
      <c r="B20" s="256"/>
      <c r="C20" s="274"/>
      <c r="D20" s="256"/>
      <c r="E20" s="256"/>
      <c r="F20" s="264">
        <f t="shared" si="0"/>
        <v>0</v>
      </c>
      <c r="G20" s="265">
        <v>7</v>
      </c>
      <c r="H20" s="269">
        <f t="shared" si="1"/>
        <v>0.0333709716796875</v>
      </c>
    </row>
    <row r="21" spans="2:8" ht="12.75">
      <c r="B21" s="272"/>
      <c r="C21" s="274"/>
      <c r="D21" s="256"/>
      <c r="E21" s="256"/>
      <c r="F21" s="264">
        <f t="shared" si="0"/>
        <v>0</v>
      </c>
      <c r="G21" s="265">
        <v>8</v>
      </c>
      <c r="H21" s="269">
        <f t="shared" si="1"/>
        <v>0.025028228759765625</v>
      </c>
    </row>
    <row r="22" spans="2:8" ht="12.75">
      <c r="B22" s="272"/>
      <c r="C22" s="274"/>
      <c r="D22" s="256"/>
      <c r="E22" s="256"/>
      <c r="F22" s="264">
        <f t="shared" si="0"/>
        <v>0</v>
      </c>
      <c r="G22" s="265">
        <v>9</v>
      </c>
      <c r="H22" s="269">
        <f t="shared" si="1"/>
        <v>0.01877117156982422</v>
      </c>
    </row>
    <row r="23" spans="2:8" ht="12.75">
      <c r="B23" s="272"/>
      <c r="C23" s="274"/>
      <c r="D23" s="256"/>
      <c r="E23" s="256"/>
      <c r="F23" s="264">
        <f t="shared" si="0"/>
        <v>0</v>
      </c>
      <c r="G23" s="265">
        <v>10</v>
      </c>
      <c r="H23" s="269">
        <f t="shared" si="1"/>
        <v>0.014078378677368164</v>
      </c>
    </row>
    <row r="24" spans="2:8" ht="12.75">
      <c r="B24" s="272"/>
      <c r="C24" s="274"/>
      <c r="D24" s="256"/>
      <c r="E24" s="256"/>
      <c r="F24" s="264">
        <f t="shared" si="0"/>
        <v>0</v>
      </c>
      <c r="G24" s="265">
        <v>11</v>
      </c>
      <c r="H24" s="269">
        <f t="shared" si="1"/>
        <v>0.010558784008026123</v>
      </c>
    </row>
    <row r="25" spans="2:8" ht="12.75">
      <c r="B25" s="272"/>
      <c r="C25" s="274"/>
      <c r="D25" s="256"/>
      <c r="E25" s="256"/>
      <c r="F25" s="264">
        <f t="shared" si="0"/>
        <v>0</v>
      </c>
      <c r="G25" s="265">
        <v>12</v>
      </c>
      <c r="H25" s="269">
        <f t="shared" si="1"/>
        <v>0.007919088006019592</v>
      </c>
    </row>
    <row r="26" spans="2:8" ht="12.75">
      <c r="B26" s="272"/>
      <c r="C26" s="274"/>
      <c r="D26" s="256"/>
      <c r="E26" s="256"/>
      <c r="F26" s="264">
        <f t="shared" si="0"/>
        <v>0</v>
      </c>
      <c r="G26" s="265">
        <v>13</v>
      </c>
      <c r="H26" s="269">
        <f t="shared" si="1"/>
        <v>0.005939316004514694</v>
      </c>
    </row>
    <row r="27" spans="2:8" ht="12.75">
      <c r="B27" s="272"/>
      <c r="C27" s="274"/>
      <c r="D27" s="256"/>
      <c r="E27" s="256"/>
      <c r="F27" s="264">
        <f t="shared" si="0"/>
        <v>0</v>
      </c>
      <c r="G27" s="265">
        <v>14</v>
      </c>
      <c r="H27" s="269">
        <f t="shared" si="1"/>
        <v>0.004454487003386021</v>
      </c>
    </row>
    <row r="28" spans="2:8" ht="12.75">
      <c r="B28" s="272"/>
      <c r="C28" s="274"/>
      <c r="D28" s="256"/>
      <c r="E28" s="256"/>
      <c r="F28" s="264">
        <f t="shared" si="0"/>
        <v>0</v>
      </c>
      <c r="G28" s="265">
        <v>15</v>
      </c>
      <c r="H28" s="269">
        <f t="shared" si="1"/>
        <v>0.0033408652525395155</v>
      </c>
    </row>
    <row r="29" spans="2:8" ht="12.75">
      <c r="B29" s="272"/>
      <c r="C29" s="274"/>
      <c r="D29" s="256"/>
      <c r="E29" s="256"/>
      <c r="F29" s="264">
        <f t="shared" si="0"/>
        <v>0</v>
      </c>
      <c r="G29" s="265">
        <v>16</v>
      </c>
      <c r="H29" s="269">
        <f t="shared" si="1"/>
        <v>0.0025056489394046366</v>
      </c>
    </row>
    <row r="30" spans="2:8" ht="12.75">
      <c r="B30" s="272"/>
      <c r="C30" s="274"/>
      <c r="D30" s="256"/>
      <c r="E30" s="256"/>
      <c r="F30" s="256"/>
      <c r="G30" s="265">
        <v>17</v>
      </c>
      <c r="H30" s="269">
        <f t="shared" si="1"/>
        <v>0.0018792367045534775</v>
      </c>
    </row>
    <row r="31" spans="2:8" ht="12.75">
      <c r="B31" s="272"/>
      <c r="C31" s="274"/>
      <c r="D31" s="256"/>
      <c r="E31" s="256"/>
      <c r="F31" s="256"/>
      <c r="G31" s="265">
        <v>18</v>
      </c>
      <c r="H31" s="269">
        <f t="shared" si="1"/>
        <v>0.001409427528415108</v>
      </c>
    </row>
    <row r="32" spans="2:8" ht="12.75">
      <c r="B32" s="272"/>
      <c r="C32" s="274"/>
      <c r="D32" s="256"/>
      <c r="E32" s="256"/>
      <c r="F32" s="256"/>
      <c r="G32" s="265">
        <v>19</v>
      </c>
      <c r="H32" s="269">
        <f t="shared" si="1"/>
        <v>0.001057070646311331</v>
      </c>
    </row>
    <row r="33" spans="2:8" ht="12.75">
      <c r="B33" s="272"/>
      <c r="C33" s="274"/>
      <c r="D33" s="256"/>
      <c r="E33" s="256"/>
      <c r="F33" s="256"/>
      <c r="G33" s="265">
        <v>20</v>
      </c>
      <c r="H33" s="269">
        <f t="shared" si="1"/>
        <v>0.0007928029847334983</v>
      </c>
    </row>
    <row r="34" spans="2:8" ht="12.75">
      <c r="B34" s="272"/>
      <c r="C34" s="274"/>
      <c r="D34" s="256"/>
      <c r="E34" s="256"/>
      <c r="F34" s="256"/>
      <c r="G34" s="265">
        <v>21</v>
      </c>
      <c r="H34" s="269">
        <f t="shared" si="1"/>
        <v>0.0005946022385501237</v>
      </c>
    </row>
    <row r="35" spans="2:8" ht="12.75">
      <c r="B35" s="272"/>
      <c r="C35" s="274"/>
      <c r="D35" s="256"/>
      <c r="E35" s="256"/>
      <c r="F35" s="256"/>
      <c r="G35" s="265">
        <v>22</v>
      </c>
      <c r="H35" s="269">
        <f t="shared" si="1"/>
        <v>0.0004459516789125928</v>
      </c>
    </row>
    <row r="36" spans="2:8" ht="12.75">
      <c r="B36" s="272"/>
      <c r="C36" s="274"/>
      <c r="D36" s="256"/>
      <c r="E36" s="256"/>
      <c r="F36" s="256"/>
      <c r="G36" s="265">
        <v>23</v>
      </c>
      <c r="H36" s="269">
        <f t="shared" si="1"/>
        <v>0.0003344637591844446</v>
      </c>
    </row>
    <row r="37" spans="2:8" ht="12.75">
      <c r="B37" s="272"/>
      <c r="C37" s="274"/>
      <c r="D37" s="256"/>
      <c r="E37" s="256"/>
      <c r="F37" s="256"/>
      <c r="G37" s="265">
        <v>24</v>
      </c>
      <c r="H37" s="269">
        <f t="shared" si="1"/>
        <v>0.00025084781938833345</v>
      </c>
    </row>
    <row r="38" spans="2:8" ht="13.5" thickBot="1">
      <c r="B38" s="272"/>
      <c r="C38" s="274"/>
      <c r="D38" s="256"/>
      <c r="E38" s="256"/>
      <c r="F38" s="256"/>
      <c r="G38" s="265">
        <v>25</v>
      </c>
      <c r="H38" s="278">
        <f t="shared" si="1"/>
        <v>0.00018813586454125009</v>
      </c>
    </row>
    <row r="39" spans="2:7" ht="12.75">
      <c r="B39" s="272"/>
      <c r="C39" s="274"/>
      <c r="D39" s="256"/>
      <c r="E39" s="256"/>
      <c r="F39" s="256"/>
      <c r="G39" s="272"/>
    </row>
    <row r="40" spans="2:7" ht="12.75">
      <c r="B40" s="272"/>
      <c r="C40" s="274"/>
      <c r="D40" s="256"/>
      <c r="E40" s="256"/>
      <c r="F40" s="256"/>
      <c r="G40" s="272"/>
    </row>
    <row r="41" spans="2:7" ht="12.75">
      <c r="B41" s="272"/>
      <c r="C41" s="274"/>
      <c r="D41" s="256"/>
      <c r="E41" s="256"/>
      <c r="F41" s="256"/>
      <c r="G41" s="272"/>
    </row>
    <row r="42" spans="2:7" ht="12.75">
      <c r="B42" s="272"/>
      <c r="C42" s="274"/>
      <c r="D42" s="256"/>
      <c r="E42" s="256"/>
      <c r="F42" s="256"/>
      <c r="G42" s="272"/>
    </row>
    <row r="43" spans="2:7" ht="12.75">
      <c r="B43" s="272"/>
      <c r="C43" s="274"/>
      <c r="D43" s="256"/>
      <c r="E43" s="256"/>
      <c r="F43" s="256"/>
      <c r="G43" s="272"/>
    </row>
    <row r="44" spans="2:7" ht="12.75">
      <c r="B44" s="272"/>
      <c r="C44" s="274"/>
      <c r="D44" s="256"/>
      <c r="E44" s="256"/>
      <c r="F44" s="256"/>
      <c r="G44" s="272"/>
    </row>
    <row r="45" spans="2:7" ht="12.75">
      <c r="B45" s="272"/>
      <c r="C45" s="274"/>
      <c r="D45" s="256"/>
      <c r="E45" s="256"/>
      <c r="F45" s="256"/>
      <c r="G45" s="272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2.125" style="1" bestFit="1" customWidth="1"/>
    <col min="3" max="5" width="10.75390625" style="1" customWidth="1"/>
    <col min="6" max="6" width="8.00390625" style="1" customWidth="1"/>
    <col min="7" max="7" width="3.875" style="1" bestFit="1" customWidth="1"/>
    <col min="8" max="8" width="13.375" style="1" bestFit="1" customWidth="1"/>
    <col min="9" max="9" width="5.125" style="1" bestFit="1" customWidth="1"/>
    <col min="10" max="16384" width="10.875" style="1" customWidth="1"/>
  </cols>
  <sheetData>
    <row r="1" ht="15.75">
      <c r="A1" s="2" t="s">
        <v>376</v>
      </c>
    </row>
    <row r="3" spans="3:5" ht="12">
      <c r="C3" s="14" t="s">
        <v>377</v>
      </c>
      <c r="D3" s="14" t="s">
        <v>378</v>
      </c>
      <c r="E3" s="14"/>
    </row>
    <row r="4" spans="3:5" ht="12">
      <c r="C4" s="14" t="s">
        <v>130</v>
      </c>
      <c r="D4" s="14" t="s">
        <v>131</v>
      </c>
      <c r="E4" s="14" t="s">
        <v>132</v>
      </c>
    </row>
    <row r="5" spans="2:5" ht="12">
      <c r="B5" s="92" t="s">
        <v>267</v>
      </c>
      <c r="C5" s="93">
        <v>2</v>
      </c>
      <c r="D5" s="93">
        <v>0.2</v>
      </c>
      <c r="E5" s="93">
        <v>0.25</v>
      </c>
    </row>
    <row r="6" spans="2:5" s="7" customFormat="1" ht="12">
      <c r="B6" s="94"/>
      <c r="C6" s="95"/>
      <c r="D6" s="95"/>
      <c r="E6" s="95"/>
    </row>
    <row r="7" spans="2:8" ht="12">
      <c r="B7" s="92"/>
      <c r="D7" s="14"/>
      <c r="H7" s="14" t="s">
        <v>133</v>
      </c>
    </row>
    <row r="8" spans="3:8" ht="12">
      <c r="C8" s="414" t="s">
        <v>134</v>
      </c>
      <c r="D8" s="414"/>
      <c r="E8" s="414"/>
      <c r="F8" s="14" t="s">
        <v>260</v>
      </c>
      <c r="H8" s="14" t="s">
        <v>135</v>
      </c>
    </row>
    <row r="9" spans="2:9" ht="12">
      <c r="B9" s="3" t="s">
        <v>136</v>
      </c>
      <c r="C9" s="35">
        <v>3.2</v>
      </c>
      <c r="D9" s="35">
        <v>4.9</v>
      </c>
      <c r="E9" s="35">
        <v>0.8</v>
      </c>
      <c r="F9" s="1">
        <f>SUMPRODUCT(C9:E9,$C$14:$E$14)</f>
        <v>13</v>
      </c>
      <c r="G9" s="1" t="s">
        <v>268</v>
      </c>
      <c r="H9" s="35">
        <v>13</v>
      </c>
      <c r="I9" s="8"/>
    </row>
    <row r="10" spans="2:9" ht="12">
      <c r="B10" s="3" t="s">
        <v>137</v>
      </c>
      <c r="C10" s="35">
        <v>1.12</v>
      </c>
      <c r="D10" s="35">
        <v>1.3</v>
      </c>
      <c r="E10" s="35">
        <v>0.19</v>
      </c>
      <c r="F10" s="96">
        <f>SUMPRODUCT(C10:E10,$C$14:$E$14)</f>
        <v>3.4382159315339034</v>
      </c>
      <c r="G10" s="1" t="s">
        <v>268</v>
      </c>
      <c r="H10" s="35">
        <v>1.5</v>
      </c>
      <c r="I10" s="8"/>
    </row>
    <row r="11" spans="2:9" ht="12">
      <c r="B11" s="3" t="s">
        <v>138</v>
      </c>
      <c r="C11" s="35">
        <v>32</v>
      </c>
      <c r="D11" s="35">
        <v>0</v>
      </c>
      <c r="E11" s="35">
        <v>93</v>
      </c>
      <c r="F11" s="1">
        <f>SUMPRODUCT(C11:E11,$C$14:$E$14)</f>
        <v>45</v>
      </c>
      <c r="G11" s="1" t="s">
        <v>268</v>
      </c>
      <c r="H11" s="35">
        <v>45</v>
      </c>
      <c r="I11" s="8"/>
    </row>
    <row r="12" spans="2:9" s="7" customFormat="1" ht="12">
      <c r="B12" s="6"/>
      <c r="C12" s="5"/>
      <c r="D12" s="5"/>
      <c r="E12" s="5"/>
      <c r="I12" s="59"/>
    </row>
    <row r="13" spans="4:8" ht="12.75" thickBot="1">
      <c r="D13" s="97"/>
      <c r="E13" s="97"/>
      <c r="H13" s="14" t="s">
        <v>265</v>
      </c>
    </row>
    <row r="14" spans="2:8" ht="12.75" thickBot="1">
      <c r="B14" s="92" t="s">
        <v>140</v>
      </c>
      <c r="C14" s="21">
        <v>0</v>
      </c>
      <c r="D14" s="98">
        <v>2.574061882817643</v>
      </c>
      <c r="E14" s="99">
        <v>0.4838709677419355</v>
      </c>
      <c r="H14" s="100">
        <f>SUMPRODUCT(C5:E5,C14:E14)</f>
        <v>0.6357801184990125</v>
      </c>
    </row>
    <row r="15" ht="12">
      <c r="B15" s="101" t="s">
        <v>139</v>
      </c>
    </row>
  </sheetData>
  <mergeCells count="1">
    <mergeCell ref="C8:E8"/>
  </mergeCells>
  <printOptions gridLines="1" headings="1"/>
  <pageMargins left="0.75" right="0.75" top="1" bottom="1" header="0.5" footer="0.5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C6" sqref="C6"/>
    </sheetView>
  </sheetViews>
  <sheetFormatPr defaultColWidth="9.00390625" defaultRowHeight="12"/>
  <cols>
    <col min="1" max="1" width="3.125" style="255" customWidth="1"/>
    <col min="2" max="2" width="15.00390625" style="253" customWidth="1"/>
    <col min="3" max="3" width="11.00390625" style="254" customWidth="1"/>
    <col min="4" max="4" width="20.375" style="255" customWidth="1"/>
    <col min="5" max="5" width="31.375" style="255" customWidth="1"/>
    <col min="6" max="6" width="29.25390625" style="255" hidden="1" customWidth="1"/>
    <col min="7" max="7" width="5.75390625" style="253" bestFit="1" customWidth="1"/>
    <col min="8" max="8" width="14.00390625" style="256" bestFit="1" customWidth="1"/>
    <col min="9" max="9" width="12.375" style="255" customWidth="1"/>
    <col min="10" max="10" width="13.125" style="255" bestFit="1" customWidth="1"/>
    <col min="11" max="11" width="9.25390625" style="255" bestFit="1" customWidth="1"/>
    <col min="12" max="16384" width="12.375" style="255" customWidth="1"/>
  </cols>
  <sheetData>
    <row r="1" ht="18">
      <c r="A1" s="252" t="s">
        <v>498</v>
      </c>
    </row>
    <row r="2" ht="13.5" thickBot="1"/>
    <row r="3" spans="1:11" ht="13.5" thickBot="1">
      <c r="A3" s="257"/>
      <c r="C3" s="258" t="s">
        <v>499</v>
      </c>
      <c r="H3" s="259" t="s">
        <v>500</v>
      </c>
      <c r="J3" s="260" t="s">
        <v>501</v>
      </c>
      <c r="K3" s="261" t="s">
        <v>502</v>
      </c>
    </row>
    <row r="4" spans="1:11" ht="12.75">
      <c r="A4" s="257"/>
      <c r="B4" s="262" t="s">
        <v>503</v>
      </c>
      <c r="C4" s="263">
        <v>15</v>
      </c>
      <c r="D4" s="256" t="s">
        <v>504</v>
      </c>
      <c r="E4" s="256"/>
      <c r="F4" s="264">
        <f aca="true" t="shared" si="0" ref="F4:F29">IF(G13&lt;=s-1,((Lambda/Mu)^G13)/FACT(G13),0)</f>
        <v>1</v>
      </c>
      <c r="G4" s="265" t="s">
        <v>505</v>
      </c>
      <c r="H4" s="266">
        <f>IF(Rho&lt;1,Lq+Lambda/Mu,NA())</f>
        <v>1.6666666666666665</v>
      </c>
      <c r="J4" s="267" t="s">
        <v>506</v>
      </c>
      <c r="K4" s="268" t="s">
        <v>507</v>
      </c>
    </row>
    <row r="5" spans="1:11" ht="15.75">
      <c r="A5" s="257"/>
      <c r="B5" s="262" t="s">
        <v>508</v>
      </c>
      <c r="C5" s="263">
        <f>60/2.5</f>
        <v>24</v>
      </c>
      <c r="D5" s="256" t="s">
        <v>509</v>
      </c>
      <c r="E5" s="256"/>
      <c r="F5" s="264">
        <f t="shared" si="0"/>
        <v>0</v>
      </c>
      <c r="G5" s="265" t="s">
        <v>254</v>
      </c>
      <c r="H5" s="269">
        <f>IF(Rho&lt;1,Lambda*Mu*((Lambda/Mu)^s)/(FACT(s-1)*(s*Mu-Lambda)^2/P0),NA())</f>
        <v>1.0416666666666665</v>
      </c>
      <c r="J5" s="270" t="s">
        <v>510</v>
      </c>
      <c r="K5" s="271" t="s">
        <v>511</v>
      </c>
    </row>
    <row r="6" spans="1:11" ht="12.75">
      <c r="A6" s="257"/>
      <c r="B6" s="272" t="s">
        <v>512</v>
      </c>
      <c r="C6" s="263">
        <v>1</v>
      </c>
      <c r="D6" s="256" t="s">
        <v>513</v>
      </c>
      <c r="E6" s="256"/>
      <c r="F6" s="264">
        <f t="shared" si="0"/>
        <v>0</v>
      </c>
      <c r="G6" s="265"/>
      <c r="H6" s="269"/>
      <c r="I6" s="273"/>
      <c r="J6" s="270" t="s">
        <v>514</v>
      </c>
      <c r="K6" s="271" t="s">
        <v>515</v>
      </c>
    </row>
    <row r="7" spans="1:11" ht="13.5" thickBot="1">
      <c r="A7" s="257"/>
      <c r="B7" s="272"/>
      <c r="C7" s="274"/>
      <c r="D7" s="256"/>
      <c r="E7" s="256"/>
      <c r="F7" s="264">
        <f t="shared" si="0"/>
        <v>0</v>
      </c>
      <c r="G7" s="265" t="s">
        <v>516</v>
      </c>
      <c r="H7" s="269">
        <f>IF(Rho&lt;1,L/Lambda,NA())</f>
        <v>0.1111111111111111</v>
      </c>
      <c r="I7" s="254"/>
      <c r="J7" s="270" t="s">
        <v>517</v>
      </c>
      <c r="K7" s="271" t="s">
        <v>518</v>
      </c>
    </row>
    <row r="8" spans="1:11" ht="16.5" thickBot="1">
      <c r="A8" s="257"/>
      <c r="B8" s="265" t="s">
        <v>519</v>
      </c>
      <c r="C8" s="275">
        <f>IF((s-1-Lambda/Mu)=0,EXP(-Mu*C9)*(1+P0*((Lambda/Mu)^s)/(FACT(s)*(1-Rho))*Mu*C9),EXP(-Mu*C9)*(1+P0*((Lambda/Mu)^s)/(FACT(s)*(1-Rho))*(1-EXP(-Mu*C9*(s-1-Lambda/Mu)))/(s-1-Lambda/Mu)))</f>
        <v>0.4723665527410147</v>
      </c>
      <c r="D8" s="256"/>
      <c r="E8" s="256"/>
      <c r="F8" s="264">
        <f t="shared" si="0"/>
        <v>0</v>
      </c>
      <c r="G8" s="265" t="s">
        <v>255</v>
      </c>
      <c r="H8" s="269">
        <f>IF(Rho&lt;1,Lq/Lambda,NA())</f>
        <v>0.06944444444444443</v>
      </c>
      <c r="I8" s="254"/>
      <c r="J8" s="270" t="s">
        <v>520</v>
      </c>
      <c r="K8" s="271" t="s">
        <v>521</v>
      </c>
    </row>
    <row r="9" spans="1:11" ht="12.75">
      <c r="A9" s="257"/>
      <c r="B9" s="272" t="s">
        <v>522</v>
      </c>
      <c r="C9" s="263">
        <f>5/60</f>
        <v>0.08333333333333333</v>
      </c>
      <c r="D9" s="256"/>
      <c r="E9" s="276">
        <f>IF(Rho&gt;=1,"Model invalid because:","")</f>
      </c>
      <c r="F9" s="264">
        <f t="shared" si="0"/>
        <v>0</v>
      </c>
      <c r="G9" s="265"/>
      <c r="H9" s="269"/>
      <c r="J9" s="270" t="s">
        <v>523</v>
      </c>
      <c r="K9" s="271" t="s">
        <v>524</v>
      </c>
    </row>
    <row r="10" spans="1:11" ht="13.5" thickBot="1">
      <c r="A10" s="257"/>
      <c r="B10" s="272"/>
      <c r="C10" s="274"/>
      <c r="D10" s="256"/>
      <c r="E10" s="276">
        <f>IF(Rho&gt;=1,"   r   &gt;=   1","")</f>
      </c>
      <c r="F10" s="264">
        <f t="shared" si="0"/>
        <v>0</v>
      </c>
      <c r="G10" s="277" t="s">
        <v>525</v>
      </c>
      <c r="H10" s="278">
        <f>Lambda/(s*Mu)</f>
        <v>0.625</v>
      </c>
      <c r="J10" s="270" t="s">
        <v>526</v>
      </c>
      <c r="K10" s="271" t="s">
        <v>527</v>
      </c>
    </row>
    <row r="11" spans="1:11" ht="16.5" thickBot="1">
      <c r="A11" s="257"/>
      <c r="B11" s="265" t="s">
        <v>256</v>
      </c>
      <c r="C11" s="275">
        <f ca="1">(1-SUM(OFFSET(P0,0,0,s,1)))*EXP(-s*Mu*(1-Rho)*C12)</f>
        <v>0.2952290954631342</v>
      </c>
      <c r="D11" s="256"/>
      <c r="E11" s="256"/>
      <c r="F11" s="264">
        <f t="shared" si="0"/>
        <v>0</v>
      </c>
      <c r="G11" s="272"/>
      <c r="J11" s="270" t="s">
        <v>528</v>
      </c>
      <c r="K11" s="271" t="s">
        <v>529</v>
      </c>
    </row>
    <row r="12" spans="1:11" ht="16.5" thickBot="1">
      <c r="A12" s="257"/>
      <c r="B12" s="272" t="s">
        <v>522</v>
      </c>
      <c r="C12" s="263">
        <f>5/60</f>
        <v>0.08333333333333333</v>
      </c>
      <c r="D12" s="256"/>
      <c r="E12" s="256"/>
      <c r="F12" s="264">
        <f t="shared" si="0"/>
        <v>0</v>
      </c>
      <c r="G12" s="279" t="s">
        <v>520</v>
      </c>
      <c r="H12" s="280" t="s">
        <v>257</v>
      </c>
      <c r="J12" s="270" t="s">
        <v>530</v>
      </c>
      <c r="K12" s="271" t="s">
        <v>245</v>
      </c>
    </row>
    <row r="13" spans="2:11" ht="12.75">
      <c r="B13" s="272"/>
      <c r="C13" s="274"/>
      <c r="D13" s="256"/>
      <c r="E13" s="256"/>
      <c r="F13" s="264">
        <f t="shared" si="0"/>
        <v>0</v>
      </c>
      <c r="G13" s="265">
        <v>0</v>
      </c>
      <c r="H13" s="266">
        <f>IF(Rho&lt;1,1/(SUM(F4:F29)+((Lambda/Mu)^s)/(FACT(s)*(1-Lambda/(s*Mu)))),NA())</f>
        <v>0.37499999999999994</v>
      </c>
      <c r="J13" s="270" t="s">
        <v>246</v>
      </c>
      <c r="K13" s="271" t="s">
        <v>247</v>
      </c>
    </row>
    <row r="14" spans="2:11" ht="12.75">
      <c r="B14" s="256"/>
      <c r="C14" s="256"/>
      <c r="D14" s="256"/>
      <c r="E14" s="256"/>
      <c r="F14" s="264">
        <f t="shared" si="0"/>
        <v>0</v>
      </c>
      <c r="G14" s="265">
        <v>1</v>
      </c>
      <c r="H14" s="269">
        <f aca="true" t="shared" si="1" ref="H14:H38">IF(Rho&lt;1,IF(s=1,(1-Rho)*Rho^n,IF(s&gt;=n,((Lambda/Mu)^n)*P0/FACT(n),((Lambda/Mu)^n)*P0/(FACT(s)*(s^(n-s))))),NA())</f>
        <v>0.234375</v>
      </c>
      <c r="J14" s="270" t="s">
        <v>248</v>
      </c>
      <c r="K14" s="271" t="s">
        <v>249</v>
      </c>
    </row>
    <row r="15" spans="2:11" ht="12.75">
      <c r="B15" s="256"/>
      <c r="C15" s="256"/>
      <c r="D15" s="256"/>
      <c r="E15" s="256"/>
      <c r="F15" s="264">
        <f t="shared" si="0"/>
        <v>0</v>
      </c>
      <c r="G15" s="265">
        <v>2</v>
      </c>
      <c r="H15" s="269">
        <f t="shared" si="1"/>
        <v>0.146484375</v>
      </c>
      <c r="J15" s="270" t="s">
        <v>250</v>
      </c>
      <c r="K15" s="271" t="s">
        <v>251</v>
      </c>
    </row>
    <row r="16" spans="2:11" ht="13.5" thickBot="1">
      <c r="B16" s="256"/>
      <c r="C16" s="256"/>
      <c r="D16" s="256"/>
      <c r="E16" s="256"/>
      <c r="F16" s="264">
        <f t="shared" si="0"/>
        <v>0</v>
      </c>
      <c r="G16" s="265">
        <v>3</v>
      </c>
      <c r="H16" s="269">
        <f t="shared" si="1"/>
        <v>0.091552734375</v>
      </c>
      <c r="J16" s="281" t="s">
        <v>252</v>
      </c>
      <c r="K16" s="282" t="s">
        <v>253</v>
      </c>
    </row>
    <row r="17" spans="2:8" ht="12.75">
      <c r="B17" s="256"/>
      <c r="C17" s="256"/>
      <c r="D17" s="256"/>
      <c r="E17" s="256"/>
      <c r="F17" s="264">
        <f t="shared" si="0"/>
        <v>0</v>
      </c>
      <c r="G17" s="265">
        <v>4</v>
      </c>
      <c r="H17" s="269">
        <f t="shared" si="1"/>
        <v>0.057220458984375</v>
      </c>
    </row>
    <row r="18" spans="2:8" ht="12.75">
      <c r="B18" s="256"/>
      <c r="C18" s="274"/>
      <c r="D18" s="256"/>
      <c r="E18" s="256"/>
      <c r="F18" s="264">
        <f t="shared" si="0"/>
        <v>0</v>
      </c>
      <c r="G18" s="265">
        <v>5</v>
      </c>
      <c r="H18" s="269">
        <f t="shared" si="1"/>
        <v>0.035762786865234375</v>
      </c>
    </row>
    <row r="19" spans="2:8" ht="12.75">
      <c r="B19" s="256"/>
      <c r="C19" s="274"/>
      <c r="D19" s="256"/>
      <c r="E19" s="256"/>
      <c r="F19" s="264">
        <f t="shared" si="0"/>
        <v>0</v>
      </c>
      <c r="G19" s="265">
        <v>6</v>
      </c>
      <c r="H19" s="269">
        <f t="shared" si="1"/>
        <v>0.022351741790771484</v>
      </c>
    </row>
    <row r="20" spans="2:8" ht="12.75">
      <c r="B20" s="256"/>
      <c r="C20" s="274"/>
      <c r="D20" s="256"/>
      <c r="E20" s="256"/>
      <c r="F20" s="264">
        <f t="shared" si="0"/>
        <v>0</v>
      </c>
      <c r="G20" s="265">
        <v>7</v>
      </c>
      <c r="H20" s="269">
        <f t="shared" si="1"/>
        <v>0.013969838619232178</v>
      </c>
    </row>
    <row r="21" spans="2:8" ht="12.75">
      <c r="B21" s="272"/>
      <c r="C21" s="274"/>
      <c r="D21" s="256"/>
      <c r="E21" s="256"/>
      <c r="F21" s="264">
        <f t="shared" si="0"/>
        <v>0</v>
      </c>
      <c r="G21" s="265">
        <v>8</v>
      </c>
      <c r="H21" s="269">
        <f t="shared" si="1"/>
        <v>0.008731149137020111</v>
      </c>
    </row>
    <row r="22" spans="2:8" ht="12.75">
      <c r="B22" s="272"/>
      <c r="C22" s="274"/>
      <c r="D22" s="256"/>
      <c r="E22" s="256"/>
      <c r="F22" s="264">
        <f t="shared" si="0"/>
        <v>0</v>
      </c>
      <c r="G22" s="265">
        <v>9</v>
      </c>
      <c r="H22" s="269">
        <f t="shared" si="1"/>
        <v>0.005456968210637569</v>
      </c>
    </row>
    <row r="23" spans="2:8" ht="12.75">
      <c r="B23" s="272"/>
      <c r="C23" s="274"/>
      <c r="D23" s="256"/>
      <c r="E23" s="256"/>
      <c r="F23" s="264">
        <f t="shared" si="0"/>
        <v>0</v>
      </c>
      <c r="G23" s="265">
        <v>10</v>
      </c>
      <c r="H23" s="269">
        <f t="shared" si="1"/>
        <v>0.003410605131648481</v>
      </c>
    </row>
    <row r="24" spans="2:8" ht="12.75">
      <c r="B24" s="272"/>
      <c r="C24" s="274"/>
      <c r="D24" s="256"/>
      <c r="E24" s="256"/>
      <c r="F24" s="264">
        <f t="shared" si="0"/>
        <v>0</v>
      </c>
      <c r="G24" s="265">
        <v>11</v>
      </c>
      <c r="H24" s="269">
        <f t="shared" si="1"/>
        <v>0.0021316282072803006</v>
      </c>
    </row>
    <row r="25" spans="2:8" ht="12.75">
      <c r="B25" s="272"/>
      <c r="C25" s="274"/>
      <c r="D25" s="256"/>
      <c r="E25" s="256"/>
      <c r="F25" s="264">
        <f t="shared" si="0"/>
        <v>0</v>
      </c>
      <c r="G25" s="265">
        <v>12</v>
      </c>
      <c r="H25" s="269">
        <f t="shared" si="1"/>
        <v>0.0013322676295501878</v>
      </c>
    </row>
    <row r="26" spans="2:8" ht="12.75">
      <c r="B26" s="272"/>
      <c r="C26" s="274"/>
      <c r="D26" s="256"/>
      <c r="E26" s="256"/>
      <c r="F26" s="264">
        <f t="shared" si="0"/>
        <v>0</v>
      </c>
      <c r="G26" s="265">
        <v>13</v>
      </c>
      <c r="H26" s="269">
        <f t="shared" si="1"/>
        <v>0.0008326672684688674</v>
      </c>
    </row>
    <row r="27" spans="2:8" ht="12.75">
      <c r="B27" s="272"/>
      <c r="C27" s="274"/>
      <c r="D27" s="256"/>
      <c r="E27" s="256"/>
      <c r="F27" s="264">
        <f t="shared" si="0"/>
        <v>0</v>
      </c>
      <c r="G27" s="265">
        <v>14</v>
      </c>
      <c r="H27" s="269">
        <f t="shared" si="1"/>
        <v>0.0005204170427930421</v>
      </c>
    </row>
    <row r="28" spans="2:8" ht="12.75">
      <c r="B28" s="272"/>
      <c r="C28" s="274"/>
      <c r="D28" s="256"/>
      <c r="E28" s="256"/>
      <c r="F28" s="264">
        <f t="shared" si="0"/>
        <v>0</v>
      </c>
      <c r="G28" s="265">
        <v>15</v>
      </c>
      <c r="H28" s="269">
        <f t="shared" si="1"/>
        <v>0.00032526065174565133</v>
      </c>
    </row>
    <row r="29" spans="2:8" ht="12.75">
      <c r="B29" s="272"/>
      <c r="C29" s="274"/>
      <c r="D29" s="256"/>
      <c r="E29" s="256"/>
      <c r="F29" s="264">
        <f t="shared" si="0"/>
        <v>0</v>
      </c>
      <c r="G29" s="265">
        <v>16</v>
      </c>
      <c r="H29" s="269">
        <f t="shared" si="1"/>
        <v>0.00020328790734103208</v>
      </c>
    </row>
    <row r="30" spans="2:8" ht="12.75">
      <c r="B30" s="272"/>
      <c r="C30" s="274"/>
      <c r="D30" s="256"/>
      <c r="E30" s="256"/>
      <c r="F30" s="256"/>
      <c r="G30" s="265">
        <v>17</v>
      </c>
      <c r="H30" s="269">
        <f t="shared" si="1"/>
        <v>0.00012705494208814505</v>
      </c>
    </row>
    <row r="31" spans="2:8" ht="12.75">
      <c r="B31" s="272"/>
      <c r="C31" s="274"/>
      <c r="D31" s="256"/>
      <c r="E31" s="256"/>
      <c r="F31" s="256"/>
      <c r="G31" s="265">
        <v>18</v>
      </c>
      <c r="H31" s="269">
        <f t="shared" si="1"/>
        <v>7.940933880509066E-05</v>
      </c>
    </row>
    <row r="32" spans="2:8" ht="12.75">
      <c r="B32" s="272"/>
      <c r="C32" s="274"/>
      <c r="D32" s="256"/>
      <c r="E32" s="256"/>
      <c r="F32" s="256"/>
      <c r="G32" s="265">
        <v>19</v>
      </c>
      <c r="H32" s="269">
        <f t="shared" si="1"/>
        <v>4.963083675318166E-05</v>
      </c>
    </row>
    <row r="33" spans="2:8" ht="12.75">
      <c r="B33" s="272"/>
      <c r="C33" s="274"/>
      <c r="D33" s="256"/>
      <c r="E33" s="256"/>
      <c r="F33" s="256"/>
      <c r="G33" s="265">
        <v>20</v>
      </c>
      <c r="H33" s="269">
        <f t="shared" si="1"/>
        <v>3.101927297073854E-05</v>
      </c>
    </row>
    <row r="34" spans="2:8" ht="12.75">
      <c r="B34" s="272"/>
      <c r="C34" s="274"/>
      <c r="D34" s="256"/>
      <c r="E34" s="256"/>
      <c r="F34" s="256"/>
      <c r="G34" s="265">
        <v>21</v>
      </c>
      <c r="H34" s="269">
        <f t="shared" si="1"/>
        <v>1.9387045606711586E-05</v>
      </c>
    </row>
    <row r="35" spans="2:8" ht="12.75">
      <c r="B35" s="272"/>
      <c r="C35" s="274"/>
      <c r="D35" s="256"/>
      <c r="E35" s="256"/>
      <c r="F35" s="256"/>
      <c r="G35" s="265">
        <v>22</v>
      </c>
      <c r="H35" s="269">
        <f t="shared" si="1"/>
        <v>1.2116903504194741E-05</v>
      </c>
    </row>
    <row r="36" spans="2:8" ht="12.75">
      <c r="B36" s="272"/>
      <c r="C36" s="274"/>
      <c r="D36" s="256"/>
      <c r="E36" s="256"/>
      <c r="F36" s="256"/>
      <c r="G36" s="265">
        <v>23</v>
      </c>
      <c r="H36" s="269">
        <f t="shared" si="1"/>
        <v>7.573064690121713E-06</v>
      </c>
    </row>
    <row r="37" spans="2:8" ht="12.75">
      <c r="B37" s="272"/>
      <c r="C37" s="274"/>
      <c r="D37" s="256"/>
      <c r="E37" s="256"/>
      <c r="F37" s="256"/>
      <c r="G37" s="265">
        <v>24</v>
      </c>
      <c r="H37" s="269">
        <f t="shared" si="1"/>
        <v>4.733165431326071E-06</v>
      </c>
    </row>
    <row r="38" spans="2:8" ht="13.5" thickBot="1">
      <c r="B38" s="272"/>
      <c r="C38" s="274"/>
      <c r="D38" s="256"/>
      <c r="E38" s="256"/>
      <c r="F38" s="256"/>
      <c r="G38" s="265">
        <v>25</v>
      </c>
      <c r="H38" s="278">
        <f t="shared" si="1"/>
        <v>2.9582283945787948E-06</v>
      </c>
    </row>
    <row r="39" spans="2:7" ht="12.75">
      <c r="B39" s="272"/>
      <c r="C39" s="274"/>
      <c r="D39" s="256"/>
      <c r="E39" s="256"/>
      <c r="F39" s="256"/>
      <c r="G39" s="272"/>
    </row>
    <row r="40" spans="2:7" ht="12.75">
      <c r="B40" s="272"/>
      <c r="C40" s="274"/>
      <c r="D40" s="256"/>
      <c r="E40" s="256"/>
      <c r="F40" s="256"/>
      <c r="G40" s="272"/>
    </row>
    <row r="41" spans="2:7" ht="12.75">
      <c r="B41" s="272"/>
      <c r="C41" s="274"/>
      <c r="D41" s="256"/>
      <c r="E41" s="256"/>
      <c r="F41" s="256"/>
      <c r="G41" s="272"/>
    </row>
    <row r="42" spans="2:7" ht="12.75">
      <c r="B42" s="272"/>
      <c r="C42" s="274"/>
      <c r="D42" s="256"/>
      <c r="E42" s="256"/>
      <c r="F42" s="256"/>
      <c r="G42" s="272"/>
    </row>
    <row r="43" spans="2:7" ht="12.75">
      <c r="B43" s="272"/>
      <c r="C43" s="274"/>
      <c r="D43" s="256"/>
      <c r="E43" s="256"/>
      <c r="F43" s="256"/>
      <c r="G43" s="272"/>
    </row>
    <row r="44" spans="2:7" ht="12.75">
      <c r="B44" s="272"/>
      <c r="C44" s="274"/>
      <c r="D44" s="256"/>
      <c r="E44" s="256"/>
      <c r="F44" s="256"/>
      <c r="G44" s="272"/>
    </row>
    <row r="45" spans="2:7" ht="12.75">
      <c r="B45" s="272"/>
      <c r="C45" s="274"/>
      <c r="D45" s="256"/>
      <c r="E45" s="256"/>
      <c r="F45" s="256"/>
      <c r="G45" s="272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1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C5" sqref="C5:C16"/>
    </sheetView>
  </sheetViews>
  <sheetFormatPr defaultColWidth="9.00390625" defaultRowHeight="12"/>
  <cols>
    <col min="1" max="1" width="2.875" style="317" customWidth="1"/>
    <col min="2" max="2" width="7.375" style="317" customWidth="1"/>
    <col min="3" max="3" width="10.875" style="317" customWidth="1"/>
    <col min="4" max="4" width="13.875" style="317" customWidth="1"/>
    <col min="5" max="5" width="12.875" style="317" customWidth="1"/>
    <col min="6" max="6" width="5.25390625" style="317" customWidth="1"/>
    <col min="7" max="7" width="7.75390625" style="317" customWidth="1"/>
    <col min="8" max="8" width="17.00390625" style="317" customWidth="1"/>
    <col min="9" max="9" width="10.75390625" style="317" customWidth="1"/>
    <col min="10" max="10" width="15.875" style="317" bestFit="1" customWidth="1"/>
    <col min="11" max="11" width="8.125" style="317" bestFit="1" customWidth="1"/>
    <col min="12" max="16384" width="10.875" style="317" customWidth="1"/>
  </cols>
  <sheetData>
    <row r="1" ht="18">
      <c r="A1" s="316" t="s">
        <v>24</v>
      </c>
    </row>
    <row r="2" ht="13.5" thickBot="1"/>
    <row r="3" spans="2:11" ht="13.5" thickBot="1">
      <c r="B3" s="318" t="s">
        <v>25</v>
      </c>
      <c r="C3" s="319" t="s">
        <v>26</v>
      </c>
      <c r="D3" s="318" t="s">
        <v>27</v>
      </c>
      <c r="E3" s="318" t="s">
        <v>28</v>
      </c>
      <c r="J3" s="320" t="s">
        <v>501</v>
      </c>
      <c r="K3" s="321" t="s">
        <v>502</v>
      </c>
    </row>
    <row r="4" spans="2:11" ht="13.5" thickBot="1">
      <c r="B4" s="318" t="s">
        <v>29</v>
      </c>
      <c r="C4" s="319" t="s">
        <v>433</v>
      </c>
      <c r="D4" s="318" t="s">
        <v>30</v>
      </c>
      <c r="E4" s="318" t="s">
        <v>31</v>
      </c>
      <c r="G4" s="322" t="s">
        <v>32</v>
      </c>
      <c r="J4" s="323" t="s">
        <v>30</v>
      </c>
      <c r="K4" s="324" t="s">
        <v>33</v>
      </c>
    </row>
    <row r="5" spans="2:11" ht="13.5" thickBot="1">
      <c r="B5" s="325">
        <v>1</v>
      </c>
      <c r="C5" s="326">
        <v>242</v>
      </c>
      <c r="D5" s="327"/>
      <c r="E5" s="325"/>
      <c r="G5" s="328" t="s">
        <v>34</v>
      </c>
      <c r="H5" s="329">
        <f>AVERAGE(ForecastingError)</f>
        <v>56.90909090909091</v>
      </c>
      <c r="J5" s="323" t="s">
        <v>35</v>
      </c>
      <c r="K5" s="324" t="s">
        <v>36</v>
      </c>
    </row>
    <row r="6" spans="2:11" ht="12.75">
      <c r="B6" s="325">
        <v>2</v>
      </c>
      <c r="C6" s="326">
        <v>282</v>
      </c>
      <c r="D6" s="330">
        <f aca="true" t="shared" si="0" ref="D6:D34">IF(ISNUMBER(C5),C5,NA())</f>
        <v>242</v>
      </c>
      <c r="E6" s="331">
        <f aca="true" t="shared" si="1" ref="E6:E34">IF(ISNUMBER(TrueValue),ABS(TrueValue-Forecast),"")</f>
        <v>40</v>
      </c>
      <c r="J6" s="323" t="s">
        <v>37</v>
      </c>
      <c r="K6" s="324" t="s">
        <v>38</v>
      </c>
    </row>
    <row r="7" spans="2:11" ht="13.5" thickBot="1">
      <c r="B7" s="325">
        <v>3</v>
      </c>
      <c r="C7" s="326">
        <v>254</v>
      </c>
      <c r="D7" s="330">
        <f t="shared" si="0"/>
        <v>282</v>
      </c>
      <c r="E7" s="331">
        <f t="shared" si="1"/>
        <v>28</v>
      </c>
      <c r="G7" s="322" t="s">
        <v>39</v>
      </c>
      <c r="J7" s="323" t="s">
        <v>40</v>
      </c>
      <c r="K7" s="324" t="s">
        <v>41</v>
      </c>
    </row>
    <row r="8" spans="2:11" ht="13.5" thickBot="1">
      <c r="B8" s="325">
        <v>4</v>
      </c>
      <c r="C8" s="326">
        <v>345</v>
      </c>
      <c r="D8" s="330">
        <f t="shared" si="0"/>
        <v>254</v>
      </c>
      <c r="E8" s="331">
        <f t="shared" si="1"/>
        <v>91</v>
      </c>
      <c r="G8" s="332" t="s">
        <v>42</v>
      </c>
      <c r="H8" s="333">
        <f>SUMSQ(ForecastingError)/COUNT(ForecastingError)</f>
        <v>4366.909090909091</v>
      </c>
      <c r="J8" s="334" t="s">
        <v>43</v>
      </c>
      <c r="K8" s="335" t="s">
        <v>44</v>
      </c>
    </row>
    <row r="9" spans="2:5" ht="12.75">
      <c r="B9" s="325">
        <v>5</v>
      </c>
      <c r="C9" s="326">
        <v>253</v>
      </c>
      <c r="D9" s="330">
        <f t="shared" si="0"/>
        <v>345</v>
      </c>
      <c r="E9" s="331">
        <f t="shared" si="1"/>
        <v>92</v>
      </c>
    </row>
    <row r="10" spans="2:5" ht="12.75">
      <c r="B10" s="325">
        <v>6</v>
      </c>
      <c r="C10" s="326">
        <v>290</v>
      </c>
      <c r="D10" s="330">
        <f t="shared" si="0"/>
        <v>253</v>
      </c>
      <c r="E10" s="331">
        <f t="shared" si="1"/>
        <v>37</v>
      </c>
    </row>
    <row r="11" spans="2:5" ht="12.75">
      <c r="B11" s="325">
        <v>7</v>
      </c>
      <c r="C11" s="326">
        <v>262</v>
      </c>
      <c r="D11" s="330">
        <f t="shared" si="0"/>
        <v>290</v>
      </c>
      <c r="E11" s="331">
        <f t="shared" si="1"/>
        <v>28</v>
      </c>
    </row>
    <row r="12" spans="2:5" ht="12.75">
      <c r="B12" s="325">
        <v>8</v>
      </c>
      <c r="C12" s="326">
        <v>352</v>
      </c>
      <c r="D12" s="330">
        <f t="shared" si="0"/>
        <v>262</v>
      </c>
      <c r="E12" s="331">
        <f t="shared" si="1"/>
        <v>90</v>
      </c>
    </row>
    <row r="13" spans="2:5" ht="12.75">
      <c r="B13" s="325">
        <v>9</v>
      </c>
      <c r="C13" s="326">
        <v>270</v>
      </c>
      <c r="D13" s="330">
        <f t="shared" si="0"/>
        <v>352</v>
      </c>
      <c r="E13" s="331">
        <f t="shared" si="1"/>
        <v>82</v>
      </c>
    </row>
    <row r="14" spans="2:5" ht="12.75">
      <c r="B14" s="325">
        <v>10</v>
      </c>
      <c r="C14" s="326">
        <v>286</v>
      </c>
      <c r="D14" s="330">
        <f t="shared" si="0"/>
        <v>270</v>
      </c>
      <c r="E14" s="331">
        <f t="shared" si="1"/>
        <v>16</v>
      </c>
    </row>
    <row r="15" spans="2:5" ht="12.75">
      <c r="B15" s="325">
        <v>11</v>
      </c>
      <c r="C15" s="326">
        <v>271</v>
      </c>
      <c r="D15" s="330">
        <f t="shared" si="0"/>
        <v>286</v>
      </c>
      <c r="E15" s="331">
        <f t="shared" si="1"/>
        <v>15</v>
      </c>
    </row>
    <row r="16" spans="2:5" ht="12.75">
      <c r="B16" s="325">
        <v>12</v>
      </c>
      <c r="C16" s="326">
        <v>378</v>
      </c>
      <c r="D16" s="330">
        <f t="shared" si="0"/>
        <v>271</v>
      </c>
      <c r="E16" s="331">
        <f t="shared" si="1"/>
        <v>107</v>
      </c>
    </row>
    <row r="17" spans="2:5" ht="12.75">
      <c r="B17" s="325">
        <v>13</v>
      </c>
      <c r="C17" s="326"/>
      <c r="D17" s="330">
        <f t="shared" si="0"/>
        <v>378</v>
      </c>
      <c r="E17" s="331">
        <f t="shared" si="1"/>
      </c>
    </row>
    <row r="18" spans="2:5" ht="12.75">
      <c r="B18" s="325">
        <v>14</v>
      </c>
      <c r="C18" s="326"/>
      <c r="D18" s="330" t="e">
        <f t="shared" si="0"/>
        <v>#N/A</v>
      </c>
      <c r="E18" s="331">
        <f t="shared" si="1"/>
      </c>
    </row>
    <row r="19" spans="2:5" ht="12.75">
      <c r="B19" s="325">
        <v>15</v>
      </c>
      <c r="C19" s="326"/>
      <c r="D19" s="330" t="e">
        <f t="shared" si="0"/>
        <v>#N/A</v>
      </c>
      <c r="E19" s="331">
        <f t="shared" si="1"/>
      </c>
    </row>
    <row r="20" spans="2:5" ht="12.75">
      <c r="B20" s="325">
        <v>16</v>
      </c>
      <c r="C20" s="326"/>
      <c r="D20" s="330" t="e">
        <f t="shared" si="0"/>
        <v>#N/A</v>
      </c>
      <c r="E20" s="331">
        <f t="shared" si="1"/>
      </c>
    </row>
    <row r="21" spans="2:5" ht="12.75">
      <c r="B21" s="325">
        <v>17</v>
      </c>
      <c r="C21" s="326"/>
      <c r="D21" s="330" t="e">
        <f t="shared" si="0"/>
        <v>#N/A</v>
      </c>
      <c r="E21" s="331">
        <f t="shared" si="1"/>
      </c>
    </row>
    <row r="22" spans="2:5" ht="12.75">
      <c r="B22" s="325">
        <v>18</v>
      </c>
      <c r="C22" s="326"/>
      <c r="D22" s="330" t="e">
        <f t="shared" si="0"/>
        <v>#N/A</v>
      </c>
      <c r="E22" s="331">
        <f t="shared" si="1"/>
      </c>
    </row>
    <row r="23" spans="2:5" ht="12.75">
      <c r="B23" s="325">
        <v>19</v>
      </c>
      <c r="C23" s="326"/>
      <c r="D23" s="330" t="e">
        <f t="shared" si="0"/>
        <v>#N/A</v>
      </c>
      <c r="E23" s="331">
        <f t="shared" si="1"/>
      </c>
    </row>
    <row r="24" spans="2:5" ht="12.75">
      <c r="B24" s="325">
        <v>20</v>
      </c>
      <c r="C24" s="326"/>
      <c r="D24" s="330" t="e">
        <f t="shared" si="0"/>
        <v>#N/A</v>
      </c>
      <c r="E24" s="331">
        <f t="shared" si="1"/>
      </c>
    </row>
    <row r="25" spans="2:5" ht="12.75">
      <c r="B25" s="325">
        <v>21</v>
      </c>
      <c r="C25" s="326"/>
      <c r="D25" s="330" t="e">
        <f t="shared" si="0"/>
        <v>#N/A</v>
      </c>
      <c r="E25" s="331">
        <f t="shared" si="1"/>
      </c>
    </row>
    <row r="26" spans="2:5" ht="12.75">
      <c r="B26" s="325">
        <v>22</v>
      </c>
      <c r="C26" s="326"/>
      <c r="D26" s="330" t="e">
        <f t="shared" si="0"/>
        <v>#N/A</v>
      </c>
      <c r="E26" s="331">
        <f t="shared" si="1"/>
      </c>
    </row>
    <row r="27" spans="2:5" ht="12.75">
      <c r="B27" s="325">
        <v>23</v>
      </c>
      <c r="C27" s="326"/>
      <c r="D27" s="330" t="e">
        <f t="shared" si="0"/>
        <v>#N/A</v>
      </c>
      <c r="E27" s="331">
        <f t="shared" si="1"/>
      </c>
    </row>
    <row r="28" spans="2:5" ht="12.75">
      <c r="B28" s="325">
        <v>24</v>
      </c>
      <c r="C28" s="326"/>
      <c r="D28" s="330" t="e">
        <f t="shared" si="0"/>
        <v>#N/A</v>
      </c>
      <c r="E28" s="331">
        <f t="shared" si="1"/>
      </c>
    </row>
    <row r="29" spans="2:5" ht="12.75">
      <c r="B29" s="325">
        <v>25</v>
      </c>
      <c r="C29" s="326"/>
      <c r="D29" s="330" t="e">
        <f t="shared" si="0"/>
        <v>#N/A</v>
      </c>
      <c r="E29" s="331">
        <f t="shared" si="1"/>
      </c>
    </row>
    <row r="30" spans="2:5" ht="12.75">
      <c r="B30" s="325">
        <v>26</v>
      </c>
      <c r="C30" s="326"/>
      <c r="D30" s="330" t="e">
        <f t="shared" si="0"/>
        <v>#N/A</v>
      </c>
      <c r="E30" s="331">
        <f t="shared" si="1"/>
      </c>
    </row>
    <row r="31" spans="2:5" ht="12.75">
      <c r="B31" s="325">
        <v>27</v>
      </c>
      <c r="C31" s="326"/>
      <c r="D31" s="330" t="e">
        <f t="shared" si="0"/>
        <v>#N/A</v>
      </c>
      <c r="E31" s="331">
        <f t="shared" si="1"/>
      </c>
    </row>
    <row r="32" spans="2:5" ht="12.75">
      <c r="B32" s="325">
        <v>28</v>
      </c>
      <c r="C32" s="326"/>
      <c r="D32" s="330" t="e">
        <f t="shared" si="0"/>
        <v>#N/A</v>
      </c>
      <c r="E32" s="331">
        <f t="shared" si="1"/>
      </c>
    </row>
    <row r="33" spans="2:5" ht="12.75">
      <c r="B33" s="325">
        <v>29</v>
      </c>
      <c r="C33" s="326"/>
      <c r="D33" s="330" t="e">
        <f t="shared" si="0"/>
        <v>#N/A</v>
      </c>
      <c r="E33" s="331">
        <f t="shared" si="1"/>
      </c>
    </row>
    <row r="34" spans="2:5" ht="13.5" thickBot="1">
      <c r="B34" s="325">
        <v>30</v>
      </c>
      <c r="C34" s="326"/>
      <c r="D34" s="336" t="e">
        <f t="shared" si="0"/>
        <v>#N/A</v>
      </c>
      <c r="E34" s="331">
        <f t="shared" si="1"/>
      </c>
    </row>
  </sheetData>
  <conditionalFormatting sqref="D5">
    <cfRule type="expression" priority="1" dxfId="0" stopIfTrue="1">
      <formula>NOT(ISNUMBER(D5))</formula>
    </cfRule>
  </conditionalFormatting>
  <conditionalFormatting sqref="D6:D34">
    <cfRule type="expression" priority="2" dxfId="1" stopIfTrue="1">
      <formula>NOT(ISNUMBER(D6))</formula>
    </cfRule>
  </conditionalFormatting>
  <printOptions gridLines="1" headings="1"/>
  <pageMargins left="0.75" right="0.75" top="1" bottom="1" header="0.5" footer="0.5"/>
  <pageSetup fitToHeight="1" fitToWidth="1" orientation="landscape" paperSize="9" scale="76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C5" sqref="C5:C16"/>
    </sheetView>
  </sheetViews>
  <sheetFormatPr defaultColWidth="9.00390625" defaultRowHeight="12"/>
  <cols>
    <col min="1" max="1" width="2.875" style="317" customWidth="1"/>
    <col min="2" max="2" width="7.375" style="317" customWidth="1"/>
    <col min="3" max="3" width="10.875" style="317" customWidth="1"/>
    <col min="4" max="4" width="13.875" style="317" customWidth="1"/>
    <col min="5" max="5" width="12.875" style="317" customWidth="1"/>
    <col min="6" max="6" width="5.25390625" style="317" customWidth="1"/>
    <col min="7" max="7" width="7.75390625" style="317" customWidth="1"/>
    <col min="8" max="8" width="17.00390625" style="317" customWidth="1"/>
    <col min="9" max="9" width="10.75390625" style="317" customWidth="1"/>
    <col min="10" max="10" width="15.875" style="317" bestFit="1" customWidth="1"/>
    <col min="11" max="11" width="8.125" style="317" bestFit="1" customWidth="1"/>
    <col min="12" max="16384" width="10.875" style="317" customWidth="1"/>
  </cols>
  <sheetData>
    <row r="1" ht="18">
      <c r="A1" s="316" t="s">
        <v>45</v>
      </c>
    </row>
    <row r="2" ht="13.5" thickBot="1"/>
    <row r="3" spans="2:11" ht="13.5" thickBot="1">
      <c r="B3" s="318" t="s">
        <v>25</v>
      </c>
      <c r="C3" s="319" t="s">
        <v>26</v>
      </c>
      <c r="D3" s="318" t="s">
        <v>46</v>
      </c>
      <c r="E3" s="318" t="s">
        <v>28</v>
      </c>
      <c r="J3" s="337" t="s">
        <v>501</v>
      </c>
      <c r="K3" s="338" t="s">
        <v>502</v>
      </c>
    </row>
    <row r="4" spans="2:11" ht="13.5" thickBot="1">
      <c r="B4" s="318" t="s">
        <v>29</v>
      </c>
      <c r="C4" s="319" t="s">
        <v>433</v>
      </c>
      <c r="D4" s="318" t="s">
        <v>30</v>
      </c>
      <c r="E4" s="318" t="s">
        <v>31</v>
      </c>
      <c r="G4" s="322" t="s">
        <v>32</v>
      </c>
      <c r="J4" s="339" t="s">
        <v>30</v>
      </c>
      <c r="K4" s="340" t="s">
        <v>33</v>
      </c>
    </row>
    <row r="5" spans="2:11" ht="13.5" thickBot="1">
      <c r="B5" s="325">
        <v>1</v>
      </c>
      <c r="C5" s="326">
        <v>242</v>
      </c>
      <c r="D5" s="327"/>
      <c r="E5" s="325"/>
      <c r="G5" s="328" t="s">
        <v>34</v>
      </c>
      <c r="H5" s="329">
        <f>AVERAGE(ForecastingError)</f>
        <v>35.84244391971666</v>
      </c>
      <c r="J5" s="339" t="s">
        <v>35</v>
      </c>
      <c r="K5" s="340" t="s">
        <v>36</v>
      </c>
    </row>
    <row r="6" spans="2:11" ht="12.75">
      <c r="B6" s="325">
        <v>2</v>
      </c>
      <c r="C6" s="326">
        <v>282</v>
      </c>
      <c r="D6" s="330">
        <f>IF(ISNUMBER(C5),AVERAGE($C$5:C5),NA())</f>
        <v>242</v>
      </c>
      <c r="E6" s="331">
        <f aca="true" t="shared" si="0" ref="E6:E34">IF(ISNUMBER(TrueValue),ABS(TrueValue-Forecast),"")</f>
        <v>40</v>
      </c>
      <c r="J6" s="339" t="s">
        <v>37</v>
      </c>
      <c r="K6" s="340" t="s">
        <v>38</v>
      </c>
    </row>
    <row r="7" spans="2:11" ht="13.5" thickBot="1">
      <c r="B7" s="325">
        <v>3</v>
      </c>
      <c r="C7" s="326">
        <v>254</v>
      </c>
      <c r="D7" s="330">
        <f>IF(ISNUMBER(C6),AVERAGE($C$5:C6),NA())</f>
        <v>262</v>
      </c>
      <c r="E7" s="331">
        <f t="shared" si="0"/>
        <v>8</v>
      </c>
      <c r="G7" s="322" t="s">
        <v>39</v>
      </c>
      <c r="J7" s="339" t="s">
        <v>40</v>
      </c>
      <c r="K7" s="340" t="s">
        <v>41</v>
      </c>
    </row>
    <row r="8" spans="2:11" ht="13.5" thickBot="1">
      <c r="B8" s="325">
        <v>4</v>
      </c>
      <c r="C8" s="326">
        <v>345</v>
      </c>
      <c r="D8" s="330">
        <f>IF(ISNUMBER(C7),AVERAGE($C$5:C7),NA())</f>
        <v>259.3333333333333</v>
      </c>
      <c r="E8" s="331">
        <f t="shared" si="0"/>
        <v>85.66666666666669</v>
      </c>
      <c r="G8" s="332" t="s">
        <v>42</v>
      </c>
      <c r="H8" s="333">
        <f>SUMSQ(ForecastingError)/COUNT(ForecastingError)</f>
        <v>2329.1193991909317</v>
      </c>
      <c r="J8" s="341" t="s">
        <v>43</v>
      </c>
      <c r="K8" s="342" t="s">
        <v>44</v>
      </c>
    </row>
    <row r="9" spans="2:5" ht="12.75">
      <c r="B9" s="325">
        <v>5</v>
      </c>
      <c r="C9" s="326">
        <v>253</v>
      </c>
      <c r="D9" s="330">
        <f>IF(ISNUMBER(C8),AVERAGE($C$5:C8),NA())</f>
        <v>280.75</v>
      </c>
      <c r="E9" s="331">
        <f t="shared" si="0"/>
        <v>27.75</v>
      </c>
    </row>
    <row r="10" spans="2:5" ht="12.75">
      <c r="B10" s="325">
        <v>6</v>
      </c>
      <c r="C10" s="326">
        <v>290</v>
      </c>
      <c r="D10" s="330">
        <f>IF(ISNUMBER(C9),AVERAGE($C$5:C9),NA())</f>
        <v>275.2</v>
      </c>
      <c r="E10" s="331">
        <f t="shared" si="0"/>
        <v>14.800000000000011</v>
      </c>
    </row>
    <row r="11" spans="2:5" ht="12.75">
      <c r="B11" s="325">
        <v>7</v>
      </c>
      <c r="C11" s="326">
        <v>262</v>
      </c>
      <c r="D11" s="330">
        <f>IF(ISNUMBER(C10),AVERAGE($C$5:C10),NA())</f>
        <v>277.6666666666667</v>
      </c>
      <c r="E11" s="331">
        <f t="shared" si="0"/>
        <v>15.666666666666686</v>
      </c>
    </row>
    <row r="12" spans="2:5" ht="12.75">
      <c r="B12" s="325">
        <v>8</v>
      </c>
      <c r="C12" s="326">
        <v>352</v>
      </c>
      <c r="D12" s="330">
        <f>IF(ISNUMBER(C11),AVERAGE($C$5:C11),NA())</f>
        <v>275.42857142857144</v>
      </c>
      <c r="E12" s="331">
        <f t="shared" si="0"/>
        <v>76.57142857142856</v>
      </c>
    </row>
    <row r="13" spans="2:5" ht="12.75">
      <c r="B13" s="325">
        <v>9</v>
      </c>
      <c r="C13" s="326">
        <v>270</v>
      </c>
      <c r="D13" s="330">
        <f>IF(ISNUMBER(C12),AVERAGE($C$5:C12),NA())</f>
        <v>285</v>
      </c>
      <c r="E13" s="331">
        <f t="shared" si="0"/>
        <v>15</v>
      </c>
    </row>
    <row r="14" spans="2:5" ht="12.75">
      <c r="B14" s="325">
        <v>10</v>
      </c>
      <c r="C14" s="326">
        <v>286</v>
      </c>
      <c r="D14" s="330">
        <f>IF(ISNUMBER(C13),AVERAGE($C$5:C13),NA())</f>
        <v>283.3333333333333</v>
      </c>
      <c r="E14" s="331">
        <f t="shared" si="0"/>
        <v>2.6666666666666856</v>
      </c>
    </row>
    <row r="15" spans="2:5" ht="12.75">
      <c r="B15" s="325">
        <v>11</v>
      </c>
      <c r="C15" s="326">
        <v>271</v>
      </c>
      <c r="D15" s="330">
        <f>IF(ISNUMBER(C14),AVERAGE($C$5:C14),NA())</f>
        <v>283.6</v>
      </c>
      <c r="E15" s="331">
        <f t="shared" si="0"/>
        <v>12.600000000000023</v>
      </c>
    </row>
    <row r="16" spans="2:5" ht="12.75">
      <c r="B16" s="325">
        <v>12</v>
      </c>
      <c r="C16" s="326">
        <v>378</v>
      </c>
      <c r="D16" s="330">
        <f>IF(ISNUMBER(C15),AVERAGE($C$5:C15),NA())</f>
        <v>282.45454545454544</v>
      </c>
      <c r="E16" s="331">
        <f t="shared" si="0"/>
        <v>95.54545454545456</v>
      </c>
    </row>
    <row r="17" spans="2:5" ht="12.75">
      <c r="B17" s="325">
        <v>13</v>
      </c>
      <c r="C17" s="343"/>
      <c r="D17" s="330">
        <f>IF(ISNUMBER(C16),AVERAGE($C$5:C16),NA())</f>
        <v>290.4166666666667</v>
      </c>
      <c r="E17" s="331">
        <f t="shared" si="0"/>
      </c>
    </row>
    <row r="18" spans="2:5" ht="12.75">
      <c r="B18" s="325">
        <v>14</v>
      </c>
      <c r="C18" s="343"/>
      <c r="D18" s="330" t="e">
        <f>IF(ISNUMBER(C17),AVERAGE($C$5:C17),NA())</f>
        <v>#N/A</v>
      </c>
      <c r="E18" s="331">
        <f t="shared" si="0"/>
      </c>
    </row>
    <row r="19" spans="2:5" ht="12.75">
      <c r="B19" s="325">
        <v>15</v>
      </c>
      <c r="C19" s="343"/>
      <c r="D19" s="330" t="e">
        <f>IF(ISNUMBER(C18),AVERAGE($C$5:C18),NA())</f>
        <v>#N/A</v>
      </c>
      <c r="E19" s="331">
        <f t="shared" si="0"/>
      </c>
    </row>
    <row r="20" spans="2:5" ht="12.75">
      <c r="B20" s="325">
        <v>16</v>
      </c>
      <c r="C20" s="343"/>
      <c r="D20" s="330" t="e">
        <f>IF(ISNUMBER(C19),AVERAGE($C$5:C19),NA())</f>
        <v>#N/A</v>
      </c>
      <c r="E20" s="331">
        <f t="shared" si="0"/>
      </c>
    </row>
    <row r="21" spans="2:5" ht="12.75">
      <c r="B21" s="325">
        <v>17</v>
      </c>
      <c r="C21" s="343"/>
      <c r="D21" s="330" t="e">
        <f>IF(ISNUMBER(C20),AVERAGE($C$5:C20),NA())</f>
        <v>#N/A</v>
      </c>
      <c r="E21" s="331">
        <f t="shared" si="0"/>
      </c>
    </row>
    <row r="22" spans="2:5" ht="12.75">
      <c r="B22" s="325">
        <v>18</v>
      </c>
      <c r="C22" s="343"/>
      <c r="D22" s="330" t="e">
        <f>IF(ISNUMBER(C21),AVERAGE($C$5:C21),NA())</f>
        <v>#N/A</v>
      </c>
      <c r="E22" s="331">
        <f t="shared" si="0"/>
      </c>
    </row>
    <row r="23" spans="2:5" ht="12.75">
      <c r="B23" s="325">
        <v>19</v>
      </c>
      <c r="C23" s="343"/>
      <c r="D23" s="330" t="e">
        <f>IF(ISNUMBER(C22),AVERAGE($C$5:C22),NA())</f>
        <v>#N/A</v>
      </c>
      <c r="E23" s="331">
        <f t="shared" si="0"/>
      </c>
    </row>
    <row r="24" spans="2:5" ht="12.75">
      <c r="B24" s="325">
        <v>20</v>
      </c>
      <c r="C24" s="343"/>
      <c r="D24" s="330" t="e">
        <f>IF(ISNUMBER(C23),AVERAGE($C$5:C23),NA())</f>
        <v>#N/A</v>
      </c>
      <c r="E24" s="331">
        <f t="shared" si="0"/>
      </c>
    </row>
    <row r="25" spans="2:5" ht="12.75">
      <c r="B25" s="325">
        <v>21</v>
      </c>
      <c r="C25" s="343"/>
      <c r="D25" s="330" t="e">
        <f>IF(ISNUMBER(C24),AVERAGE($C$5:C24),NA())</f>
        <v>#N/A</v>
      </c>
      <c r="E25" s="331">
        <f t="shared" si="0"/>
      </c>
    </row>
    <row r="26" spans="2:5" ht="12.75">
      <c r="B26" s="325">
        <v>22</v>
      </c>
      <c r="C26" s="343"/>
      <c r="D26" s="330" t="e">
        <f>IF(ISNUMBER(C25),AVERAGE($C$5:C25),NA())</f>
        <v>#N/A</v>
      </c>
      <c r="E26" s="331">
        <f t="shared" si="0"/>
      </c>
    </row>
    <row r="27" spans="2:5" ht="12.75">
      <c r="B27" s="325">
        <v>23</v>
      </c>
      <c r="C27" s="343"/>
      <c r="D27" s="330" t="e">
        <f>IF(ISNUMBER(C26),AVERAGE($C$5:C26),NA())</f>
        <v>#N/A</v>
      </c>
      <c r="E27" s="331">
        <f t="shared" si="0"/>
      </c>
    </row>
    <row r="28" spans="2:5" ht="12.75">
      <c r="B28" s="325">
        <v>24</v>
      </c>
      <c r="C28" s="343"/>
      <c r="D28" s="330" t="e">
        <f>IF(ISNUMBER(C27),AVERAGE($C$5:C27),NA())</f>
        <v>#N/A</v>
      </c>
      <c r="E28" s="331">
        <f t="shared" si="0"/>
      </c>
    </row>
    <row r="29" spans="2:5" ht="12.75">
      <c r="B29" s="325">
        <v>25</v>
      </c>
      <c r="C29" s="343"/>
      <c r="D29" s="330" t="e">
        <f>IF(ISNUMBER(C28),AVERAGE($C$5:C28),NA())</f>
        <v>#N/A</v>
      </c>
      <c r="E29" s="331">
        <f t="shared" si="0"/>
      </c>
    </row>
    <row r="30" spans="2:5" ht="12.75">
      <c r="B30" s="325">
        <v>26</v>
      </c>
      <c r="C30" s="343"/>
      <c r="D30" s="330" t="e">
        <f>IF(ISNUMBER(C29),AVERAGE($C$5:C29),NA())</f>
        <v>#N/A</v>
      </c>
      <c r="E30" s="331">
        <f t="shared" si="0"/>
      </c>
    </row>
    <row r="31" spans="2:5" ht="12.75">
      <c r="B31" s="325">
        <v>27</v>
      </c>
      <c r="C31" s="343"/>
      <c r="D31" s="330" t="e">
        <f>IF(ISNUMBER(C30),AVERAGE($C$5:C30),NA())</f>
        <v>#N/A</v>
      </c>
      <c r="E31" s="331">
        <f t="shared" si="0"/>
      </c>
    </row>
    <row r="32" spans="2:5" ht="12.75">
      <c r="B32" s="325">
        <v>28</v>
      </c>
      <c r="C32" s="343"/>
      <c r="D32" s="330" t="e">
        <f>IF(ISNUMBER(C31),AVERAGE($C$5:C31),NA())</f>
        <v>#N/A</v>
      </c>
      <c r="E32" s="331">
        <f t="shared" si="0"/>
      </c>
    </row>
    <row r="33" spans="2:5" ht="12.75">
      <c r="B33" s="325">
        <v>29</v>
      </c>
      <c r="C33" s="343"/>
      <c r="D33" s="330" t="e">
        <f>IF(ISNUMBER(C32),AVERAGE($C$5:C32),NA())</f>
        <v>#N/A</v>
      </c>
      <c r="E33" s="331">
        <f t="shared" si="0"/>
      </c>
    </row>
    <row r="34" spans="2:5" ht="13.5" thickBot="1">
      <c r="B34" s="325">
        <v>30</v>
      </c>
      <c r="C34" s="343"/>
      <c r="D34" s="336" t="e">
        <f>IF(ISNUMBER(C33),AVERAGE($C$5:C33),NA())</f>
        <v>#N/A</v>
      </c>
      <c r="E34" s="331">
        <f t="shared" si="0"/>
      </c>
    </row>
  </sheetData>
  <conditionalFormatting sqref="D5">
    <cfRule type="expression" priority="1" dxfId="0" stopIfTrue="1">
      <formula>NOT(ISNUMBER(D5))</formula>
    </cfRule>
  </conditionalFormatting>
  <conditionalFormatting sqref="D6:D34">
    <cfRule type="expression" priority="2" dxfId="1" stopIfTrue="1">
      <formula>NOT(ISNUMBER(D6))</formula>
    </cfRule>
  </conditionalFormatting>
  <printOptions gridLines="1" headings="1"/>
  <pageMargins left="0.75" right="0.75" top="1" bottom="1" header="0.5" footer="0.5"/>
  <pageSetup fitToHeight="1" fitToWidth="1" orientation="landscape" paperSize="9" scale="76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C5" sqref="C5:C16"/>
    </sheetView>
  </sheetViews>
  <sheetFormatPr defaultColWidth="9.00390625" defaultRowHeight="12"/>
  <cols>
    <col min="1" max="1" width="2.875" style="317" customWidth="1"/>
    <col min="2" max="2" width="7.375" style="317" customWidth="1"/>
    <col min="3" max="3" width="10.875" style="317" customWidth="1"/>
    <col min="4" max="4" width="13.125" style="317" customWidth="1"/>
    <col min="5" max="5" width="12.875" style="317" customWidth="1"/>
    <col min="6" max="6" width="5.25390625" style="317" customWidth="1"/>
    <col min="7" max="7" width="7.75390625" style="317" customWidth="1"/>
    <col min="8" max="8" width="17.00390625" style="317" customWidth="1"/>
    <col min="9" max="9" width="10.75390625" style="317" customWidth="1"/>
    <col min="10" max="10" width="17.25390625" style="317" bestFit="1" customWidth="1"/>
    <col min="11" max="11" width="8.125" style="317" bestFit="1" customWidth="1"/>
    <col min="12" max="16384" width="10.875" style="317" customWidth="1"/>
  </cols>
  <sheetData>
    <row r="1" ht="18">
      <c r="A1" s="316" t="s">
        <v>47</v>
      </c>
    </row>
    <row r="3" ht="13.5" thickBot="1">
      <c r="D3" s="318" t="s">
        <v>48</v>
      </c>
    </row>
    <row r="4" spans="2:11" ht="13.5" thickBot="1">
      <c r="B4" s="318" t="s">
        <v>25</v>
      </c>
      <c r="C4" s="319" t="s">
        <v>26</v>
      </c>
      <c r="D4" s="318" t="s">
        <v>49</v>
      </c>
      <c r="E4" s="318" t="s">
        <v>28</v>
      </c>
      <c r="G4" s="322" t="s">
        <v>50</v>
      </c>
      <c r="J4" s="337" t="s">
        <v>501</v>
      </c>
      <c r="K4" s="338" t="s">
        <v>502</v>
      </c>
    </row>
    <row r="5" spans="2:11" ht="13.5" thickBot="1">
      <c r="B5" s="318" t="s">
        <v>29</v>
      </c>
      <c r="C5" s="319" t="s">
        <v>433</v>
      </c>
      <c r="D5" s="318" t="s">
        <v>30</v>
      </c>
      <c r="E5" s="318" t="s">
        <v>31</v>
      </c>
      <c r="G5" s="322" t="s">
        <v>51</v>
      </c>
      <c r="J5" s="339" t="s">
        <v>30</v>
      </c>
      <c r="K5" s="340" t="s">
        <v>52</v>
      </c>
    </row>
    <row r="6" spans="2:11" ht="12.75">
      <c r="B6" s="325">
        <v>1</v>
      </c>
      <c r="C6" s="344">
        <v>242</v>
      </c>
      <c r="D6" s="327"/>
      <c r="E6" s="325"/>
      <c r="G6" s="332" t="s">
        <v>53</v>
      </c>
      <c r="H6" s="345">
        <v>4</v>
      </c>
      <c r="J6" s="339" t="s">
        <v>35</v>
      </c>
      <c r="K6" s="340" t="s">
        <v>54</v>
      </c>
    </row>
    <row r="7" spans="2:11" ht="12.75">
      <c r="B7" s="325">
        <v>2</v>
      </c>
      <c r="C7" s="344">
        <v>282</v>
      </c>
      <c r="D7" s="330" t="e">
        <f aca="true" ca="1" t="shared" si="0" ref="D7:D35">IF(AND(ISNUMBER(C6),B7&gt;NumberOfPeriods),AVERAGE(OFFSET(D7,-NumberOfPeriods,-1,NumberOfPeriods,1)),NA())</f>
        <v>#N/A</v>
      </c>
      <c r="E7" s="331">
        <f aca="true" t="shared" si="1" ref="E7:E35">IF(AND(ISNUMBER(TrueValue),ISNUMBER(Forecast)),ABS(TrueValue-Forecast),"")</f>
      </c>
      <c r="J7" s="339" t="s">
        <v>37</v>
      </c>
      <c r="K7" s="340" t="s">
        <v>55</v>
      </c>
    </row>
    <row r="8" spans="2:11" ht="13.5" thickBot="1">
      <c r="B8" s="325">
        <v>3</v>
      </c>
      <c r="C8" s="344">
        <v>254</v>
      </c>
      <c r="D8" s="330" t="e">
        <f ca="1" t="shared" si="0"/>
        <v>#N/A</v>
      </c>
      <c r="E8" s="331">
        <f t="shared" si="1"/>
      </c>
      <c r="G8" s="322" t="s">
        <v>32</v>
      </c>
      <c r="J8" s="339" t="s">
        <v>40</v>
      </c>
      <c r="K8" s="340" t="s">
        <v>56</v>
      </c>
    </row>
    <row r="9" spans="2:11" ht="13.5" thickBot="1">
      <c r="B9" s="325">
        <v>4</v>
      </c>
      <c r="C9" s="344">
        <v>345</v>
      </c>
      <c r="D9" s="330" t="e">
        <f ca="1" t="shared" si="0"/>
        <v>#N/A</v>
      </c>
      <c r="E9" s="331">
        <f t="shared" si="1"/>
      </c>
      <c r="G9" s="328" t="s">
        <v>34</v>
      </c>
      <c r="H9" s="329">
        <f>AVERAGE(ForecastingError)</f>
        <v>31.71875</v>
      </c>
      <c r="J9" s="339" t="s">
        <v>57</v>
      </c>
      <c r="K9" s="340" t="s">
        <v>58</v>
      </c>
    </row>
    <row r="10" spans="2:11" ht="13.5" thickBot="1">
      <c r="B10" s="325">
        <v>5</v>
      </c>
      <c r="C10" s="344">
        <v>253</v>
      </c>
      <c r="D10" s="330">
        <f ca="1" t="shared" si="0"/>
        <v>280.75</v>
      </c>
      <c r="E10" s="331">
        <f t="shared" si="1"/>
        <v>27.75</v>
      </c>
      <c r="J10" s="341" t="s">
        <v>43</v>
      </c>
      <c r="K10" s="342" t="s">
        <v>59</v>
      </c>
    </row>
    <row r="11" spans="2:7" ht="13.5" thickBot="1">
      <c r="B11" s="325">
        <v>6</v>
      </c>
      <c r="C11" s="344">
        <v>290</v>
      </c>
      <c r="D11" s="330">
        <f ca="1" t="shared" si="0"/>
        <v>283.5</v>
      </c>
      <c r="E11" s="331">
        <f t="shared" si="1"/>
        <v>6.5</v>
      </c>
      <c r="G11" s="322" t="s">
        <v>39</v>
      </c>
    </row>
    <row r="12" spans="2:8" ht="13.5" thickBot="1">
      <c r="B12" s="325">
        <v>7</v>
      </c>
      <c r="C12" s="344">
        <v>262</v>
      </c>
      <c r="D12" s="330">
        <f ca="1" t="shared" si="0"/>
        <v>285.5</v>
      </c>
      <c r="E12" s="331">
        <f t="shared" si="1"/>
        <v>23.5</v>
      </c>
      <c r="G12" s="332" t="s">
        <v>42</v>
      </c>
      <c r="H12" s="333">
        <f>SUMSQ(ForecastingError)/COUNT(ForecastingError)</f>
        <v>1668.0546875</v>
      </c>
    </row>
    <row r="13" spans="2:5" ht="12.75">
      <c r="B13" s="325">
        <v>8</v>
      </c>
      <c r="C13" s="344">
        <v>352</v>
      </c>
      <c r="D13" s="330">
        <f ca="1" t="shared" si="0"/>
        <v>287.5</v>
      </c>
      <c r="E13" s="331">
        <f t="shared" si="1"/>
        <v>64.5</v>
      </c>
    </row>
    <row r="14" spans="2:5" ht="12.75">
      <c r="B14" s="325">
        <v>9</v>
      </c>
      <c r="C14" s="344">
        <v>270</v>
      </c>
      <c r="D14" s="330">
        <f ca="1" t="shared" si="0"/>
        <v>289.25</v>
      </c>
      <c r="E14" s="331">
        <f t="shared" si="1"/>
        <v>19.25</v>
      </c>
    </row>
    <row r="15" spans="2:5" ht="12.75">
      <c r="B15" s="325">
        <v>10</v>
      </c>
      <c r="C15" s="344">
        <v>286</v>
      </c>
      <c r="D15" s="330">
        <f ca="1" t="shared" si="0"/>
        <v>293.5</v>
      </c>
      <c r="E15" s="331">
        <f t="shared" si="1"/>
        <v>7.5</v>
      </c>
    </row>
    <row r="16" spans="2:5" ht="12.75">
      <c r="B16" s="325">
        <v>11</v>
      </c>
      <c r="C16" s="344">
        <v>271</v>
      </c>
      <c r="D16" s="330">
        <f ca="1" t="shared" si="0"/>
        <v>292.5</v>
      </c>
      <c r="E16" s="331">
        <f t="shared" si="1"/>
        <v>21.5</v>
      </c>
    </row>
    <row r="17" spans="2:5" ht="12.75">
      <c r="B17" s="325">
        <v>12</v>
      </c>
      <c r="C17" s="344">
        <v>378</v>
      </c>
      <c r="D17" s="330">
        <f ca="1" t="shared" si="0"/>
        <v>294.75</v>
      </c>
      <c r="E17" s="331">
        <f t="shared" si="1"/>
        <v>83.25</v>
      </c>
    </row>
    <row r="18" spans="2:5" ht="12.75">
      <c r="B18" s="325">
        <v>13</v>
      </c>
      <c r="C18" s="343"/>
      <c r="D18" s="330">
        <f ca="1" t="shared" si="0"/>
        <v>301.25</v>
      </c>
      <c r="E18" s="331">
        <f t="shared" si="1"/>
      </c>
    </row>
    <row r="19" spans="2:5" ht="12.75">
      <c r="B19" s="325">
        <v>14</v>
      </c>
      <c r="C19" s="343"/>
      <c r="D19" s="330" t="e">
        <f ca="1" t="shared" si="0"/>
        <v>#N/A</v>
      </c>
      <c r="E19" s="331">
        <f t="shared" si="1"/>
      </c>
    </row>
    <row r="20" spans="2:5" ht="12.75">
      <c r="B20" s="325">
        <v>15</v>
      </c>
      <c r="C20" s="343"/>
      <c r="D20" s="330" t="e">
        <f ca="1" t="shared" si="0"/>
        <v>#N/A</v>
      </c>
      <c r="E20" s="331">
        <f t="shared" si="1"/>
      </c>
    </row>
    <row r="21" spans="2:5" ht="12.75">
      <c r="B21" s="325">
        <v>16</v>
      </c>
      <c r="C21" s="343"/>
      <c r="D21" s="330" t="e">
        <f ca="1" t="shared" si="0"/>
        <v>#N/A</v>
      </c>
      <c r="E21" s="331">
        <f t="shared" si="1"/>
      </c>
    </row>
    <row r="22" spans="2:5" ht="12.75">
      <c r="B22" s="325">
        <v>17</v>
      </c>
      <c r="C22" s="343"/>
      <c r="D22" s="330" t="e">
        <f ca="1" t="shared" si="0"/>
        <v>#N/A</v>
      </c>
      <c r="E22" s="331">
        <f t="shared" si="1"/>
      </c>
    </row>
    <row r="23" spans="2:5" ht="12.75">
      <c r="B23" s="325">
        <v>18</v>
      </c>
      <c r="C23" s="343"/>
      <c r="D23" s="330" t="e">
        <f ca="1" t="shared" si="0"/>
        <v>#N/A</v>
      </c>
      <c r="E23" s="331">
        <f t="shared" si="1"/>
      </c>
    </row>
    <row r="24" spans="2:5" ht="12.75">
      <c r="B24" s="325">
        <v>19</v>
      </c>
      <c r="C24" s="343"/>
      <c r="D24" s="330" t="e">
        <f ca="1" t="shared" si="0"/>
        <v>#N/A</v>
      </c>
      <c r="E24" s="331">
        <f t="shared" si="1"/>
      </c>
    </row>
    <row r="25" spans="2:5" ht="12.75">
      <c r="B25" s="325">
        <v>20</v>
      </c>
      <c r="C25" s="343"/>
      <c r="D25" s="330" t="e">
        <f ca="1" t="shared" si="0"/>
        <v>#N/A</v>
      </c>
      <c r="E25" s="331">
        <f t="shared" si="1"/>
      </c>
    </row>
    <row r="26" spans="2:5" ht="12.75">
      <c r="B26" s="325">
        <v>21</v>
      </c>
      <c r="C26" s="343"/>
      <c r="D26" s="330" t="e">
        <f ca="1" t="shared" si="0"/>
        <v>#N/A</v>
      </c>
      <c r="E26" s="331">
        <f t="shared" si="1"/>
      </c>
    </row>
    <row r="27" spans="2:5" ht="12.75">
      <c r="B27" s="325">
        <v>22</v>
      </c>
      <c r="C27" s="343"/>
      <c r="D27" s="330" t="e">
        <f ca="1" t="shared" si="0"/>
        <v>#N/A</v>
      </c>
      <c r="E27" s="331">
        <f t="shared" si="1"/>
      </c>
    </row>
    <row r="28" spans="2:5" ht="12.75">
      <c r="B28" s="325">
        <v>23</v>
      </c>
      <c r="C28" s="343"/>
      <c r="D28" s="330" t="e">
        <f ca="1" t="shared" si="0"/>
        <v>#N/A</v>
      </c>
      <c r="E28" s="331">
        <f t="shared" si="1"/>
      </c>
    </row>
    <row r="29" spans="2:5" ht="12.75">
      <c r="B29" s="325">
        <v>24</v>
      </c>
      <c r="C29" s="343"/>
      <c r="D29" s="330" t="e">
        <f ca="1" t="shared" si="0"/>
        <v>#N/A</v>
      </c>
      <c r="E29" s="331">
        <f t="shared" si="1"/>
      </c>
    </row>
    <row r="30" spans="2:5" ht="12.75">
      <c r="B30" s="325">
        <v>25</v>
      </c>
      <c r="C30" s="343"/>
      <c r="D30" s="330" t="e">
        <f ca="1" t="shared" si="0"/>
        <v>#N/A</v>
      </c>
      <c r="E30" s="331">
        <f t="shared" si="1"/>
      </c>
    </row>
    <row r="31" spans="2:5" ht="12.75">
      <c r="B31" s="325">
        <v>26</v>
      </c>
      <c r="C31" s="343"/>
      <c r="D31" s="330" t="e">
        <f ca="1" t="shared" si="0"/>
        <v>#N/A</v>
      </c>
      <c r="E31" s="331">
        <f t="shared" si="1"/>
      </c>
    </row>
    <row r="32" spans="2:5" ht="12.75">
      <c r="B32" s="325">
        <v>27</v>
      </c>
      <c r="C32" s="343"/>
      <c r="D32" s="330" t="e">
        <f ca="1" t="shared" si="0"/>
        <v>#N/A</v>
      </c>
      <c r="E32" s="331">
        <f t="shared" si="1"/>
      </c>
    </row>
    <row r="33" spans="2:5" ht="12.75">
      <c r="B33" s="325">
        <v>28</v>
      </c>
      <c r="C33" s="343"/>
      <c r="D33" s="330" t="e">
        <f ca="1" t="shared" si="0"/>
        <v>#N/A</v>
      </c>
      <c r="E33" s="331">
        <f t="shared" si="1"/>
      </c>
    </row>
    <row r="34" spans="2:5" ht="12.75">
      <c r="B34" s="325">
        <v>29</v>
      </c>
      <c r="C34" s="343"/>
      <c r="D34" s="330" t="e">
        <f ca="1" t="shared" si="0"/>
        <v>#N/A</v>
      </c>
      <c r="E34" s="331">
        <f t="shared" si="1"/>
      </c>
    </row>
    <row r="35" spans="2:5" ht="13.5" thickBot="1">
      <c r="B35" s="325">
        <v>30</v>
      </c>
      <c r="C35" s="343"/>
      <c r="D35" s="336" t="e">
        <f ca="1" t="shared" si="0"/>
        <v>#N/A</v>
      </c>
      <c r="E35" s="331">
        <f t="shared" si="1"/>
      </c>
    </row>
  </sheetData>
  <conditionalFormatting sqref="D6">
    <cfRule type="expression" priority="1" dxfId="0" stopIfTrue="1">
      <formula>NOT(ISNUMBER(D6))</formula>
    </cfRule>
  </conditionalFormatting>
  <conditionalFormatting sqref="D7:D35">
    <cfRule type="expression" priority="2" dxfId="1" stopIfTrue="1">
      <formula>NOT(ISNUMBER(D7))</formula>
    </cfRule>
  </conditionalFormatting>
  <dataValidations count="1">
    <dataValidation type="whole" operator="greaterThanOrEqual" allowBlank="1" showInputMessage="1" showErrorMessage="1" error="Number of previous periods to consider must be an integer greater than or equal to 1." sqref="H6">
      <formula1>1</formula1>
    </dataValidation>
  </dataValidations>
  <printOptions gridLines="1" headings="1"/>
  <pageMargins left="0.75" right="0.75" top="1" bottom="1" header="0.5" footer="0.5"/>
  <pageSetup fitToHeight="1" fitToWidth="1" orientation="landscape" paperSize="9" scale="7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C5" sqref="C5:C16"/>
    </sheetView>
  </sheetViews>
  <sheetFormatPr defaultColWidth="9.00390625" defaultRowHeight="12"/>
  <cols>
    <col min="1" max="1" width="2.875" style="317" customWidth="1"/>
    <col min="2" max="2" width="7.375" style="317" customWidth="1"/>
    <col min="3" max="3" width="10.875" style="317" customWidth="1"/>
    <col min="4" max="4" width="13.875" style="317" customWidth="1"/>
    <col min="5" max="5" width="12.875" style="317" customWidth="1"/>
    <col min="6" max="6" width="5.25390625" style="317" customWidth="1"/>
    <col min="7" max="7" width="12.25390625" style="317" customWidth="1"/>
    <col min="8" max="8" width="17.00390625" style="317" customWidth="1"/>
    <col min="9" max="9" width="10.75390625" style="317" customWidth="1"/>
    <col min="10" max="10" width="17.25390625" style="317" bestFit="1" customWidth="1"/>
    <col min="11" max="11" width="8.125" style="317" bestFit="1" customWidth="1"/>
    <col min="12" max="16384" width="10.875" style="317" customWidth="1"/>
  </cols>
  <sheetData>
    <row r="1" ht="18">
      <c r="A1" s="316" t="s">
        <v>60</v>
      </c>
    </row>
    <row r="3" ht="13.5" thickBot="1">
      <c r="D3" s="318" t="s">
        <v>61</v>
      </c>
    </row>
    <row r="4" spans="2:11" ht="13.5" thickBot="1">
      <c r="B4" s="318" t="s">
        <v>25</v>
      </c>
      <c r="C4" s="319" t="s">
        <v>26</v>
      </c>
      <c r="D4" s="318" t="s">
        <v>62</v>
      </c>
      <c r="E4" s="318" t="s">
        <v>28</v>
      </c>
      <c r="G4" s="322"/>
      <c r="J4" s="337" t="s">
        <v>501</v>
      </c>
      <c r="K4" s="338" t="s">
        <v>502</v>
      </c>
    </row>
    <row r="5" spans="2:11" ht="13.5" thickBot="1">
      <c r="B5" s="318" t="s">
        <v>29</v>
      </c>
      <c r="C5" s="319" t="s">
        <v>433</v>
      </c>
      <c r="D5" s="318" t="s">
        <v>30</v>
      </c>
      <c r="E5" s="318" t="s">
        <v>31</v>
      </c>
      <c r="G5" s="322" t="s">
        <v>63</v>
      </c>
      <c r="J5" s="339" t="s">
        <v>64</v>
      </c>
      <c r="K5" s="340" t="s">
        <v>58</v>
      </c>
    </row>
    <row r="6" spans="2:11" ht="12.75">
      <c r="B6" s="325">
        <v>1</v>
      </c>
      <c r="C6" s="344">
        <v>242</v>
      </c>
      <c r="D6" s="346">
        <f>IF(ISNUMBER(InitialEstimate),InitialEstimate,NA())</f>
        <v>275</v>
      </c>
      <c r="E6" s="331">
        <f aca="true" t="shared" si="0" ref="E6:E35">IF(AND(ISNUMBER(TrueValue),ISNUMBER(Forecast)),ABS(TrueValue-Forecast),"")</f>
        <v>33</v>
      </c>
      <c r="G6" s="347" t="s">
        <v>65</v>
      </c>
      <c r="H6" s="348">
        <v>0.2</v>
      </c>
      <c r="J6" s="339" t="s">
        <v>30</v>
      </c>
      <c r="K6" s="340" t="s">
        <v>52</v>
      </c>
    </row>
    <row r="7" spans="2:11" ht="12.75">
      <c r="B7" s="325">
        <v>2</v>
      </c>
      <c r="C7" s="344">
        <v>282</v>
      </c>
      <c r="D7" s="330">
        <f aca="true" t="shared" si="1" ref="D7:D35">IF(ISNUMBER(C6),Alpha*C6+(1-Alpha)*D6,NA())</f>
        <v>268.4</v>
      </c>
      <c r="E7" s="331">
        <f t="shared" si="0"/>
        <v>13.600000000000023</v>
      </c>
      <c r="J7" s="339" t="s">
        <v>35</v>
      </c>
      <c r="K7" s="340" t="s">
        <v>54</v>
      </c>
    </row>
    <row r="8" spans="2:11" ht="12.75">
      <c r="B8" s="325">
        <v>3</v>
      </c>
      <c r="C8" s="344">
        <v>254</v>
      </c>
      <c r="D8" s="330">
        <f t="shared" si="1"/>
        <v>271.12</v>
      </c>
      <c r="E8" s="331">
        <f t="shared" si="0"/>
        <v>17.120000000000005</v>
      </c>
      <c r="G8" s="322" t="s">
        <v>66</v>
      </c>
      <c r="J8" s="339" t="s">
        <v>67</v>
      </c>
      <c r="K8" s="340" t="s">
        <v>55</v>
      </c>
    </row>
    <row r="9" spans="2:11" ht="12.75">
      <c r="B9" s="325">
        <v>4</v>
      </c>
      <c r="C9" s="344">
        <v>345</v>
      </c>
      <c r="D9" s="330">
        <f t="shared" si="1"/>
        <v>267.696</v>
      </c>
      <c r="E9" s="331">
        <f t="shared" si="0"/>
        <v>77.30399999999997</v>
      </c>
      <c r="G9" s="332" t="s">
        <v>68</v>
      </c>
      <c r="H9" s="344">
        <v>275</v>
      </c>
      <c r="J9" s="339" t="s">
        <v>37</v>
      </c>
      <c r="K9" s="340" t="s">
        <v>56</v>
      </c>
    </row>
    <row r="10" spans="2:11" ht="12.75">
      <c r="B10" s="325">
        <v>5</v>
      </c>
      <c r="C10" s="344">
        <v>253</v>
      </c>
      <c r="D10" s="330">
        <f t="shared" si="1"/>
        <v>283.15680000000003</v>
      </c>
      <c r="E10" s="331">
        <f t="shared" si="0"/>
        <v>30.156800000000032</v>
      </c>
      <c r="J10" s="339" t="s">
        <v>40</v>
      </c>
      <c r="K10" s="340" t="s">
        <v>69</v>
      </c>
    </row>
    <row r="11" spans="2:11" ht="13.5" thickBot="1">
      <c r="B11" s="325">
        <v>6</v>
      </c>
      <c r="C11" s="344">
        <v>290</v>
      </c>
      <c r="D11" s="330">
        <f t="shared" si="1"/>
        <v>277.12544</v>
      </c>
      <c r="E11" s="331">
        <f t="shared" si="0"/>
        <v>12.874559999999974</v>
      </c>
      <c r="G11" s="322" t="s">
        <v>32</v>
      </c>
      <c r="J11" s="341" t="s">
        <v>43</v>
      </c>
      <c r="K11" s="342" t="s">
        <v>59</v>
      </c>
    </row>
    <row r="12" spans="2:8" ht="13.5" thickBot="1">
      <c r="B12" s="325">
        <v>7</v>
      </c>
      <c r="C12" s="344">
        <v>262</v>
      </c>
      <c r="D12" s="330">
        <f t="shared" si="1"/>
        <v>279.70035200000007</v>
      </c>
      <c r="E12" s="331">
        <f t="shared" si="0"/>
        <v>17.700352000000066</v>
      </c>
      <c r="G12" s="328" t="s">
        <v>34</v>
      </c>
      <c r="H12" s="329">
        <f>AVERAGE(ForecastingError)</f>
        <v>34.17968739498668</v>
      </c>
    </row>
    <row r="13" spans="2:5" ht="12.75">
      <c r="B13" s="325">
        <v>8</v>
      </c>
      <c r="C13" s="344">
        <v>352</v>
      </c>
      <c r="D13" s="330">
        <f t="shared" si="1"/>
        <v>276.1602816000001</v>
      </c>
      <c r="E13" s="331">
        <f t="shared" si="0"/>
        <v>75.83971839999992</v>
      </c>
    </row>
    <row r="14" spans="2:7" ht="13.5" thickBot="1">
      <c r="B14" s="325">
        <v>9</v>
      </c>
      <c r="C14" s="344">
        <v>270</v>
      </c>
      <c r="D14" s="330">
        <f t="shared" si="1"/>
        <v>291.3282252800001</v>
      </c>
      <c r="E14" s="331">
        <f t="shared" si="0"/>
        <v>21.328225280000083</v>
      </c>
      <c r="G14" s="322" t="s">
        <v>39</v>
      </c>
    </row>
    <row r="15" spans="2:8" ht="13.5" thickBot="1">
      <c r="B15" s="325">
        <v>10</v>
      </c>
      <c r="C15" s="344">
        <v>286</v>
      </c>
      <c r="D15" s="330">
        <f t="shared" si="1"/>
        <v>287.06258022400004</v>
      </c>
      <c r="E15" s="331">
        <f t="shared" si="0"/>
        <v>1.062580224000044</v>
      </c>
      <c r="G15" s="332" t="s">
        <v>42</v>
      </c>
      <c r="H15" s="333">
        <f>SUMSQ(ForecastingError)/COUNT(ForecastingError)</f>
        <v>2023.8845470626347</v>
      </c>
    </row>
    <row r="16" spans="2:5" ht="12.75">
      <c r="B16" s="325">
        <v>11</v>
      </c>
      <c r="C16" s="344">
        <v>271</v>
      </c>
      <c r="D16" s="330">
        <f t="shared" si="1"/>
        <v>286.85006417920005</v>
      </c>
      <c r="E16" s="331">
        <f t="shared" si="0"/>
        <v>15.850064179200047</v>
      </c>
    </row>
    <row r="17" spans="2:5" ht="12.75">
      <c r="B17" s="325">
        <v>12</v>
      </c>
      <c r="C17" s="344">
        <v>378</v>
      </c>
      <c r="D17" s="330">
        <f t="shared" si="1"/>
        <v>283.68005134336005</v>
      </c>
      <c r="E17" s="331">
        <f t="shared" si="0"/>
        <v>94.31994865663995</v>
      </c>
    </row>
    <row r="18" spans="2:5" ht="12.75">
      <c r="B18" s="325">
        <v>13</v>
      </c>
      <c r="C18" s="326"/>
      <c r="D18" s="330">
        <f t="shared" si="1"/>
        <v>302.54404107468804</v>
      </c>
      <c r="E18" s="331">
        <f t="shared" si="0"/>
      </c>
    </row>
    <row r="19" spans="2:5" ht="12.75">
      <c r="B19" s="325">
        <v>14</v>
      </c>
      <c r="C19" s="326"/>
      <c r="D19" s="330" t="e">
        <f t="shared" si="1"/>
        <v>#N/A</v>
      </c>
      <c r="E19" s="331">
        <f t="shared" si="0"/>
      </c>
    </row>
    <row r="20" spans="2:5" ht="12.75">
      <c r="B20" s="325">
        <v>15</v>
      </c>
      <c r="C20" s="326"/>
      <c r="D20" s="330" t="e">
        <f t="shared" si="1"/>
        <v>#N/A</v>
      </c>
      <c r="E20" s="331">
        <f t="shared" si="0"/>
      </c>
    </row>
    <row r="21" spans="2:5" ht="12.75">
      <c r="B21" s="325">
        <v>16</v>
      </c>
      <c r="C21" s="326"/>
      <c r="D21" s="330" t="e">
        <f t="shared" si="1"/>
        <v>#N/A</v>
      </c>
      <c r="E21" s="331">
        <f t="shared" si="0"/>
      </c>
    </row>
    <row r="22" spans="2:5" ht="12.75">
      <c r="B22" s="325">
        <v>17</v>
      </c>
      <c r="C22" s="326"/>
      <c r="D22" s="330" t="e">
        <f t="shared" si="1"/>
        <v>#N/A</v>
      </c>
      <c r="E22" s="331">
        <f t="shared" si="0"/>
      </c>
    </row>
    <row r="23" spans="2:5" ht="12.75">
      <c r="B23" s="325">
        <v>18</v>
      </c>
      <c r="C23" s="326"/>
      <c r="D23" s="330" t="e">
        <f t="shared" si="1"/>
        <v>#N/A</v>
      </c>
      <c r="E23" s="331">
        <f t="shared" si="0"/>
      </c>
    </row>
    <row r="24" spans="2:5" ht="12.75">
      <c r="B24" s="325">
        <v>19</v>
      </c>
      <c r="C24" s="326"/>
      <c r="D24" s="330" t="e">
        <f t="shared" si="1"/>
        <v>#N/A</v>
      </c>
      <c r="E24" s="331">
        <f t="shared" si="0"/>
      </c>
    </row>
    <row r="25" spans="2:5" ht="12.75">
      <c r="B25" s="325">
        <v>20</v>
      </c>
      <c r="C25" s="326"/>
      <c r="D25" s="330" t="e">
        <f t="shared" si="1"/>
        <v>#N/A</v>
      </c>
      <c r="E25" s="331">
        <f t="shared" si="0"/>
      </c>
    </row>
    <row r="26" spans="2:5" ht="12.75">
      <c r="B26" s="325">
        <v>21</v>
      </c>
      <c r="C26" s="326"/>
      <c r="D26" s="330" t="e">
        <f t="shared" si="1"/>
        <v>#N/A</v>
      </c>
      <c r="E26" s="331">
        <f t="shared" si="0"/>
      </c>
    </row>
    <row r="27" spans="2:5" ht="12.75">
      <c r="B27" s="325">
        <v>22</v>
      </c>
      <c r="C27" s="326"/>
      <c r="D27" s="330" t="e">
        <f t="shared" si="1"/>
        <v>#N/A</v>
      </c>
      <c r="E27" s="331">
        <f t="shared" si="0"/>
      </c>
    </row>
    <row r="28" spans="2:5" ht="12.75">
      <c r="B28" s="325">
        <v>23</v>
      </c>
      <c r="C28" s="326"/>
      <c r="D28" s="330" t="e">
        <f t="shared" si="1"/>
        <v>#N/A</v>
      </c>
      <c r="E28" s="331">
        <f t="shared" si="0"/>
      </c>
    </row>
    <row r="29" spans="2:5" ht="12.75">
      <c r="B29" s="325">
        <v>24</v>
      </c>
      <c r="C29" s="326"/>
      <c r="D29" s="330" t="e">
        <f t="shared" si="1"/>
        <v>#N/A</v>
      </c>
      <c r="E29" s="331">
        <f t="shared" si="0"/>
      </c>
    </row>
    <row r="30" spans="2:5" ht="12.75">
      <c r="B30" s="325">
        <v>25</v>
      </c>
      <c r="C30" s="326"/>
      <c r="D30" s="330" t="e">
        <f t="shared" si="1"/>
        <v>#N/A</v>
      </c>
      <c r="E30" s="331">
        <f t="shared" si="0"/>
      </c>
    </row>
    <row r="31" spans="2:5" ht="12.75">
      <c r="B31" s="325">
        <v>26</v>
      </c>
      <c r="C31" s="326"/>
      <c r="D31" s="330" t="e">
        <f t="shared" si="1"/>
        <v>#N/A</v>
      </c>
      <c r="E31" s="331">
        <f t="shared" si="0"/>
      </c>
    </row>
    <row r="32" spans="2:5" ht="12.75">
      <c r="B32" s="325">
        <v>27</v>
      </c>
      <c r="C32" s="326"/>
      <c r="D32" s="330" t="e">
        <f t="shared" si="1"/>
        <v>#N/A</v>
      </c>
      <c r="E32" s="331">
        <f t="shared" si="0"/>
      </c>
    </row>
    <row r="33" spans="2:5" ht="12.75">
      <c r="B33" s="325">
        <v>28</v>
      </c>
      <c r="C33" s="326"/>
      <c r="D33" s="330" t="e">
        <f t="shared" si="1"/>
        <v>#N/A</v>
      </c>
      <c r="E33" s="331">
        <f t="shared" si="0"/>
      </c>
    </row>
    <row r="34" spans="2:5" ht="12.75">
      <c r="B34" s="325">
        <v>29</v>
      </c>
      <c r="C34" s="326"/>
      <c r="D34" s="330" t="e">
        <f t="shared" si="1"/>
        <v>#N/A</v>
      </c>
      <c r="E34" s="331">
        <f t="shared" si="0"/>
      </c>
    </row>
    <row r="35" spans="2:5" ht="13.5" thickBot="1">
      <c r="B35" s="325">
        <v>30</v>
      </c>
      <c r="C35" s="326"/>
      <c r="D35" s="336" t="e">
        <f t="shared" si="1"/>
        <v>#N/A</v>
      </c>
      <c r="E35" s="331">
        <f t="shared" si="0"/>
      </c>
    </row>
  </sheetData>
  <conditionalFormatting sqref="D6">
    <cfRule type="expression" priority="1" dxfId="0" stopIfTrue="1">
      <formula>NOT(ISNUMBER(D6))</formula>
    </cfRule>
  </conditionalFormatting>
  <conditionalFormatting sqref="D7:D35">
    <cfRule type="expression" priority="2" dxfId="1" stopIfTrue="1">
      <formula>NOT(ISNUMBER(D7))</formula>
    </cfRule>
  </conditionalFormatting>
  <dataValidations count="1">
    <dataValidation type="decimal" allowBlank="1" showInputMessage="1" showErrorMessage="1" error="The smoothing constant must be between 0 and 1." sqref="H6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landscape" paperSize="9" scale="7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C5" sqref="C5:C16"/>
    </sheetView>
  </sheetViews>
  <sheetFormatPr defaultColWidth="9.00390625" defaultRowHeight="12"/>
  <cols>
    <col min="1" max="1" width="3.00390625" style="317" customWidth="1"/>
    <col min="2" max="2" width="7.875" style="317" customWidth="1"/>
    <col min="3" max="4" width="10.875" style="317" customWidth="1"/>
    <col min="5" max="5" width="11.375" style="317" customWidth="1"/>
    <col min="6" max="7" width="13.75390625" style="317" customWidth="1"/>
    <col min="8" max="8" width="2.875" style="317" customWidth="1"/>
    <col min="9" max="9" width="10.75390625" style="349" customWidth="1"/>
    <col min="10" max="10" width="14.125" style="317" customWidth="1"/>
    <col min="11" max="11" width="10.875" style="317" customWidth="1"/>
    <col min="12" max="12" width="22.00390625" style="317" bestFit="1" customWidth="1"/>
    <col min="13" max="13" width="8.125" style="317" bestFit="1" customWidth="1"/>
    <col min="14" max="16384" width="10.875" style="317" customWidth="1"/>
  </cols>
  <sheetData>
    <row r="1" ht="18">
      <c r="A1" s="316" t="s">
        <v>70</v>
      </c>
    </row>
    <row r="2" ht="18.75" thickBot="1">
      <c r="A2" s="316"/>
    </row>
    <row r="3" spans="6:13" ht="13.5" thickBot="1">
      <c r="F3" s="318" t="s">
        <v>61</v>
      </c>
      <c r="L3" s="350" t="s">
        <v>501</v>
      </c>
      <c r="M3" s="351" t="s">
        <v>502</v>
      </c>
    </row>
    <row r="4" spans="2:13" ht="12.75">
      <c r="B4" s="318" t="s">
        <v>71</v>
      </c>
      <c r="C4" s="319" t="s">
        <v>26</v>
      </c>
      <c r="D4" s="318" t="s">
        <v>72</v>
      </c>
      <c r="E4" s="318" t="s">
        <v>73</v>
      </c>
      <c r="F4" s="318" t="s">
        <v>62</v>
      </c>
      <c r="G4" s="318" t="s">
        <v>28</v>
      </c>
      <c r="I4" s="352"/>
      <c r="L4" s="353" t="s">
        <v>64</v>
      </c>
      <c r="M4" s="354" t="s">
        <v>74</v>
      </c>
    </row>
    <row r="5" spans="2:13" ht="13.5" thickBot="1">
      <c r="B5" s="318" t="s">
        <v>29</v>
      </c>
      <c r="C5" s="319" t="s">
        <v>433</v>
      </c>
      <c r="D5" s="318" t="s">
        <v>75</v>
      </c>
      <c r="E5" s="318" t="s">
        <v>75</v>
      </c>
      <c r="F5" s="318" t="s">
        <v>30</v>
      </c>
      <c r="G5" s="318" t="s">
        <v>31</v>
      </c>
      <c r="I5" s="352" t="s">
        <v>76</v>
      </c>
      <c r="L5" s="353" t="s">
        <v>77</v>
      </c>
      <c r="M5" s="354" t="s">
        <v>78</v>
      </c>
    </row>
    <row r="6" spans="2:13" ht="12.75">
      <c r="B6" s="355">
        <v>1</v>
      </c>
      <c r="C6" s="344">
        <v>242</v>
      </c>
      <c r="D6" s="413"/>
      <c r="E6" s="413">
        <f>IF(ISNUMBER(InitialEstimateTrend),InitialEstimateTrend,"")</f>
        <v>2</v>
      </c>
      <c r="F6" s="356">
        <f>InitialEstimateAverage+InitialEstimateTrend</f>
        <v>277</v>
      </c>
      <c r="G6" s="357">
        <f aca="true" t="shared" si="0" ref="G6:G35">IF(ISNUMBER(TrueValue),ABS(TrueValue-Forecast),"")</f>
        <v>35</v>
      </c>
      <c r="I6" s="358" t="s">
        <v>65</v>
      </c>
      <c r="J6" s="343">
        <v>0.3</v>
      </c>
      <c r="L6" s="353" t="s">
        <v>79</v>
      </c>
      <c r="M6" s="354" t="s">
        <v>54</v>
      </c>
    </row>
    <row r="7" spans="2:13" ht="12.75">
      <c r="B7" s="355">
        <v>2</v>
      </c>
      <c r="C7" s="344">
        <v>282</v>
      </c>
      <c r="D7" s="413">
        <f>IF(ISNUMBER(C6),Alpha*(C6-InitialEstimateAverage)+(1-Alpha)*(F6-InitialEstimateAverage),"")</f>
        <v>-8.5</v>
      </c>
      <c r="E7" s="413">
        <f>Beta*LatestTrend+(1-Beta)*E6</f>
        <v>-1.15</v>
      </c>
      <c r="F7" s="359">
        <f aca="true" t="shared" si="1" ref="F7:F35">IF(ISNUMBER(C6),Alpha*C6+(1-Alpha)*F6+EstimatedTrend,NA())</f>
        <v>265.35</v>
      </c>
      <c r="G7" s="357">
        <f t="shared" si="0"/>
        <v>16.649999999999977</v>
      </c>
      <c r="I7" s="358" t="s">
        <v>80</v>
      </c>
      <c r="J7" s="343">
        <v>0.3</v>
      </c>
      <c r="L7" s="353" t="s">
        <v>30</v>
      </c>
      <c r="M7" s="354" t="s">
        <v>81</v>
      </c>
    </row>
    <row r="8" spans="2:13" ht="12.75">
      <c r="B8" s="355">
        <v>3</v>
      </c>
      <c r="C8" s="344">
        <v>254</v>
      </c>
      <c r="D8" s="413">
        <f aca="true" t="shared" si="2" ref="D8:D35">IF(ISNUMBER(C7),Alpha*(C7-C6)+(1-Alpha)*(F7-F6),"")</f>
        <v>3.8450000000000166</v>
      </c>
      <c r="E8" s="413">
        <f aca="true" t="shared" si="3" ref="E8:E35">IF(ISNUMBER(C7),Beta*LatestTrend+(1-Beta)*E7,"")</f>
        <v>0.3485000000000049</v>
      </c>
      <c r="F8" s="359">
        <f t="shared" si="1"/>
        <v>270.69350000000003</v>
      </c>
      <c r="G8" s="357">
        <f t="shared" si="0"/>
        <v>16.69350000000003</v>
      </c>
      <c r="I8" s="355"/>
      <c r="J8" s="360"/>
      <c r="L8" s="353" t="s">
        <v>35</v>
      </c>
      <c r="M8" s="354" t="s">
        <v>82</v>
      </c>
    </row>
    <row r="9" spans="2:13" ht="12.75">
      <c r="B9" s="355">
        <v>4</v>
      </c>
      <c r="C9" s="344">
        <v>345</v>
      </c>
      <c r="D9" s="413">
        <f t="shared" si="2"/>
        <v>-4.659549999999996</v>
      </c>
      <c r="E9" s="413">
        <f t="shared" si="3"/>
        <v>-1.1539149999999954</v>
      </c>
      <c r="F9" s="359">
        <f t="shared" si="1"/>
        <v>264.531535</v>
      </c>
      <c r="G9" s="357">
        <f t="shared" si="0"/>
        <v>80.46846499999998</v>
      </c>
      <c r="I9" s="361" t="s">
        <v>83</v>
      </c>
      <c r="J9" s="360"/>
      <c r="L9" s="353" t="s">
        <v>84</v>
      </c>
      <c r="M9" s="354" t="s">
        <v>85</v>
      </c>
    </row>
    <row r="10" spans="2:13" ht="12.75">
      <c r="B10" s="355">
        <v>5</v>
      </c>
      <c r="C10" s="344">
        <v>253</v>
      </c>
      <c r="D10" s="413">
        <f t="shared" si="2"/>
        <v>22.986624499999994</v>
      </c>
      <c r="E10" s="413">
        <f t="shared" si="3"/>
        <v>6.088246850000001</v>
      </c>
      <c r="F10" s="359">
        <f t="shared" si="1"/>
        <v>294.76032135</v>
      </c>
      <c r="G10" s="357">
        <f t="shared" si="0"/>
        <v>41.76032135000003</v>
      </c>
      <c r="I10" s="362" t="s">
        <v>68</v>
      </c>
      <c r="J10" s="326">
        <v>275</v>
      </c>
      <c r="L10" s="353" t="s">
        <v>86</v>
      </c>
      <c r="M10" s="354" t="s">
        <v>87</v>
      </c>
    </row>
    <row r="11" spans="2:13" ht="12.75">
      <c r="B11" s="355">
        <v>6</v>
      </c>
      <c r="C11" s="344">
        <v>290</v>
      </c>
      <c r="D11" s="413">
        <f t="shared" si="2"/>
        <v>-6.439849554999995</v>
      </c>
      <c r="E11" s="413">
        <f t="shared" si="3"/>
        <v>2.3298179285000025</v>
      </c>
      <c r="F11" s="359">
        <f t="shared" si="1"/>
        <v>284.5620428735</v>
      </c>
      <c r="G11" s="357">
        <f t="shared" si="0"/>
        <v>5.4379571265000095</v>
      </c>
      <c r="I11" s="362" t="s">
        <v>88</v>
      </c>
      <c r="J11" s="343">
        <v>2</v>
      </c>
      <c r="L11" s="353" t="s">
        <v>89</v>
      </c>
      <c r="M11" s="354" t="s">
        <v>52</v>
      </c>
    </row>
    <row r="12" spans="2:13" ht="12.75">
      <c r="B12" s="355">
        <v>7</v>
      </c>
      <c r="C12" s="344">
        <v>262</v>
      </c>
      <c r="D12" s="413">
        <f t="shared" si="2"/>
        <v>3.961205066449975</v>
      </c>
      <c r="E12" s="413">
        <f t="shared" si="3"/>
        <v>2.819234069884994</v>
      </c>
      <c r="F12" s="359">
        <f t="shared" si="1"/>
        <v>289.012664081335</v>
      </c>
      <c r="G12" s="357">
        <f t="shared" si="0"/>
        <v>27.012664081335004</v>
      </c>
      <c r="I12" s="355"/>
      <c r="J12" s="360"/>
      <c r="L12" s="353" t="s">
        <v>37</v>
      </c>
      <c r="M12" s="354" t="s">
        <v>90</v>
      </c>
    </row>
    <row r="13" spans="2:13" ht="13.5" thickBot="1">
      <c r="B13" s="355">
        <v>8</v>
      </c>
      <c r="C13" s="344">
        <v>352</v>
      </c>
      <c r="D13" s="413">
        <f t="shared" si="2"/>
        <v>-5.284565154515491</v>
      </c>
      <c r="E13" s="413">
        <f t="shared" si="3"/>
        <v>0.38809430256484867</v>
      </c>
      <c r="F13" s="359">
        <f t="shared" si="1"/>
        <v>281.29695915949935</v>
      </c>
      <c r="G13" s="357">
        <f t="shared" si="0"/>
        <v>70.70304084050065</v>
      </c>
      <c r="I13" s="361" t="s">
        <v>32</v>
      </c>
      <c r="J13" s="360"/>
      <c r="L13" s="353" t="s">
        <v>40</v>
      </c>
      <c r="M13" s="354" t="s">
        <v>91</v>
      </c>
    </row>
    <row r="14" spans="2:13" ht="13.5" thickBot="1">
      <c r="B14" s="355">
        <v>9</v>
      </c>
      <c r="C14" s="344">
        <v>270</v>
      </c>
      <c r="D14" s="413">
        <f t="shared" si="2"/>
        <v>21.599006554715043</v>
      </c>
      <c r="E14" s="413">
        <f t="shared" si="3"/>
        <v>6.751367978209906</v>
      </c>
      <c r="F14" s="359">
        <f t="shared" si="1"/>
        <v>309.2592393898594</v>
      </c>
      <c r="G14" s="357">
        <f t="shared" si="0"/>
        <v>39.259239389859374</v>
      </c>
      <c r="I14" s="362" t="s">
        <v>34</v>
      </c>
      <c r="J14" s="363">
        <f>AVERAGE(ForecastingError)</f>
        <v>38.615971411132485</v>
      </c>
      <c r="L14" s="364" t="s">
        <v>43</v>
      </c>
      <c r="M14" s="365" t="s">
        <v>59</v>
      </c>
    </row>
    <row r="15" spans="2:7" ht="12.75">
      <c r="B15" s="355">
        <v>10</v>
      </c>
      <c r="C15" s="344">
        <v>286</v>
      </c>
      <c r="D15" s="413">
        <f t="shared" si="2"/>
        <v>-5.026403838747985</v>
      </c>
      <c r="E15" s="413">
        <f t="shared" si="3"/>
        <v>3.2180364331225384</v>
      </c>
      <c r="F15" s="359">
        <f t="shared" si="1"/>
        <v>300.69950400602414</v>
      </c>
      <c r="G15" s="357">
        <f t="shared" si="0"/>
        <v>14.699504006024142</v>
      </c>
    </row>
    <row r="16" spans="2:9" ht="13.5" thickBot="1">
      <c r="B16" s="355">
        <v>11</v>
      </c>
      <c r="C16" s="344">
        <v>271</v>
      </c>
      <c r="D16" s="413">
        <f t="shared" si="2"/>
        <v>-1.1918147686846625</v>
      </c>
      <c r="E16" s="413">
        <f t="shared" si="3"/>
        <v>1.895081072580378</v>
      </c>
      <c r="F16" s="359">
        <f t="shared" si="1"/>
        <v>298.1847338767972</v>
      </c>
      <c r="G16" s="357">
        <f t="shared" si="0"/>
        <v>27.184733876797225</v>
      </c>
      <c r="I16" s="361" t="s">
        <v>39</v>
      </c>
    </row>
    <row r="17" spans="2:10" ht="13.5" thickBot="1">
      <c r="B17" s="355">
        <v>12</v>
      </c>
      <c r="C17" s="344">
        <v>378</v>
      </c>
      <c r="D17" s="413">
        <f t="shared" si="2"/>
        <v>-6.260339090458842</v>
      </c>
      <c r="E17" s="413">
        <f t="shared" si="3"/>
        <v>-0.551544976331388</v>
      </c>
      <c r="F17" s="359">
        <f t="shared" si="1"/>
        <v>289.47776873742663</v>
      </c>
      <c r="G17" s="357">
        <f t="shared" si="0"/>
        <v>88.52223126257337</v>
      </c>
      <c r="I17" s="366" t="s">
        <v>42</v>
      </c>
      <c r="J17" s="363">
        <f>SUMSQ(ForecastingError)/COUNT(ForecastingError)</f>
        <v>2174.2273002238253</v>
      </c>
    </row>
    <row r="18" spans="2:7" ht="12.75">
      <c r="B18" s="355">
        <v>13</v>
      </c>
      <c r="C18" s="326"/>
      <c r="D18" s="413">
        <f t="shared" si="2"/>
        <v>26.005124402440586</v>
      </c>
      <c r="E18" s="413">
        <f t="shared" si="3"/>
        <v>7.415455837300204</v>
      </c>
      <c r="F18" s="359">
        <f t="shared" si="1"/>
        <v>323.4498939534988</v>
      </c>
      <c r="G18" s="357">
        <f t="shared" si="0"/>
      </c>
    </row>
    <row r="19" spans="2:7" ht="12.75">
      <c r="B19" s="355">
        <v>14</v>
      </c>
      <c r="C19" s="326"/>
      <c r="D19" s="355">
        <f t="shared" si="2"/>
      </c>
      <c r="E19" s="367">
        <f t="shared" si="3"/>
      </c>
      <c r="F19" s="359" t="e">
        <f t="shared" si="1"/>
        <v>#N/A</v>
      </c>
      <c r="G19" s="357">
        <f t="shared" si="0"/>
      </c>
    </row>
    <row r="20" spans="2:7" ht="12.75">
      <c r="B20" s="355">
        <v>15</v>
      </c>
      <c r="C20" s="326"/>
      <c r="D20" s="355">
        <f t="shared" si="2"/>
      </c>
      <c r="E20" s="367">
        <f t="shared" si="3"/>
      </c>
      <c r="F20" s="359" t="e">
        <f t="shared" si="1"/>
        <v>#N/A</v>
      </c>
      <c r="G20" s="357">
        <f t="shared" si="0"/>
      </c>
    </row>
    <row r="21" spans="2:7" ht="12.75">
      <c r="B21" s="355">
        <v>16</v>
      </c>
      <c r="C21" s="326"/>
      <c r="D21" s="355">
        <f t="shared" si="2"/>
      </c>
      <c r="E21" s="367">
        <f t="shared" si="3"/>
      </c>
      <c r="F21" s="359" t="e">
        <f t="shared" si="1"/>
        <v>#N/A</v>
      </c>
      <c r="G21" s="357">
        <f t="shared" si="0"/>
      </c>
    </row>
    <row r="22" spans="2:7" ht="12.75">
      <c r="B22" s="355">
        <v>17</v>
      </c>
      <c r="C22" s="326"/>
      <c r="D22" s="355">
        <f t="shared" si="2"/>
      </c>
      <c r="E22" s="367">
        <f t="shared" si="3"/>
      </c>
      <c r="F22" s="359" t="e">
        <f t="shared" si="1"/>
        <v>#N/A</v>
      </c>
      <c r="G22" s="357">
        <f t="shared" si="0"/>
      </c>
    </row>
    <row r="23" spans="2:7" ht="12.75">
      <c r="B23" s="355">
        <v>18</v>
      </c>
      <c r="C23" s="326"/>
      <c r="D23" s="355">
        <f t="shared" si="2"/>
      </c>
      <c r="E23" s="367">
        <f t="shared" si="3"/>
      </c>
      <c r="F23" s="359" t="e">
        <f t="shared" si="1"/>
        <v>#N/A</v>
      </c>
      <c r="G23" s="357">
        <f t="shared" si="0"/>
      </c>
    </row>
    <row r="24" spans="2:7" ht="12.75">
      <c r="B24" s="355">
        <v>19</v>
      </c>
      <c r="C24" s="326"/>
      <c r="D24" s="355">
        <f t="shared" si="2"/>
      </c>
      <c r="E24" s="367">
        <f t="shared" si="3"/>
      </c>
      <c r="F24" s="359" t="e">
        <f t="shared" si="1"/>
        <v>#N/A</v>
      </c>
      <c r="G24" s="357">
        <f t="shared" si="0"/>
      </c>
    </row>
    <row r="25" spans="2:7" ht="12.75">
      <c r="B25" s="355">
        <v>20</v>
      </c>
      <c r="C25" s="326"/>
      <c r="D25" s="355">
        <f t="shared" si="2"/>
      </c>
      <c r="E25" s="367">
        <f t="shared" si="3"/>
      </c>
      <c r="F25" s="359" t="e">
        <f t="shared" si="1"/>
        <v>#N/A</v>
      </c>
      <c r="G25" s="357">
        <f t="shared" si="0"/>
      </c>
    </row>
    <row r="26" spans="2:7" ht="12.75">
      <c r="B26" s="355">
        <v>21</v>
      </c>
      <c r="C26" s="326"/>
      <c r="D26" s="355">
        <f t="shared" si="2"/>
      </c>
      <c r="E26" s="367">
        <f t="shared" si="3"/>
      </c>
      <c r="F26" s="359" t="e">
        <f t="shared" si="1"/>
        <v>#N/A</v>
      </c>
      <c r="G26" s="357">
        <f t="shared" si="0"/>
      </c>
    </row>
    <row r="27" spans="2:7" ht="12.75">
      <c r="B27" s="355">
        <v>22</v>
      </c>
      <c r="C27" s="326"/>
      <c r="D27" s="355">
        <f t="shared" si="2"/>
      </c>
      <c r="E27" s="367">
        <f t="shared" si="3"/>
      </c>
      <c r="F27" s="359" t="e">
        <f t="shared" si="1"/>
        <v>#N/A</v>
      </c>
      <c r="G27" s="357">
        <f t="shared" si="0"/>
      </c>
    </row>
    <row r="28" spans="2:7" ht="12.75">
      <c r="B28" s="355">
        <v>23</v>
      </c>
      <c r="C28" s="326"/>
      <c r="D28" s="355">
        <f t="shared" si="2"/>
      </c>
      <c r="E28" s="367">
        <f t="shared" si="3"/>
      </c>
      <c r="F28" s="359" t="e">
        <f t="shared" si="1"/>
        <v>#N/A</v>
      </c>
      <c r="G28" s="357">
        <f t="shared" si="0"/>
      </c>
    </row>
    <row r="29" spans="2:7" ht="12.75">
      <c r="B29" s="355">
        <v>24</v>
      </c>
      <c r="C29" s="326"/>
      <c r="D29" s="355">
        <f t="shared" si="2"/>
      </c>
      <c r="E29" s="367">
        <f t="shared" si="3"/>
      </c>
      <c r="F29" s="359" t="e">
        <f t="shared" si="1"/>
        <v>#N/A</v>
      </c>
      <c r="G29" s="357">
        <f t="shared" si="0"/>
      </c>
    </row>
    <row r="30" spans="2:7" ht="12.75">
      <c r="B30" s="355">
        <v>25</v>
      </c>
      <c r="C30" s="326"/>
      <c r="D30" s="355">
        <f t="shared" si="2"/>
      </c>
      <c r="E30" s="367">
        <f t="shared" si="3"/>
      </c>
      <c r="F30" s="359" t="e">
        <f t="shared" si="1"/>
        <v>#N/A</v>
      </c>
      <c r="G30" s="357">
        <f t="shared" si="0"/>
      </c>
    </row>
    <row r="31" spans="2:7" ht="12.75">
      <c r="B31" s="355">
        <v>26</v>
      </c>
      <c r="C31" s="326"/>
      <c r="D31" s="355">
        <f t="shared" si="2"/>
      </c>
      <c r="E31" s="367">
        <f t="shared" si="3"/>
      </c>
      <c r="F31" s="359" t="e">
        <f t="shared" si="1"/>
        <v>#N/A</v>
      </c>
      <c r="G31" s="357">
        <f t="shared" si="0"/>
      </c>
    </row>
    <row r="32" spans="2:7" ht="12.75">
      <c r="B32" s="355">
        <v>27</v>
      </c>
      <c r="C32" s="326"/>
      <c r="D32" s="355">
        <f t="shared" si="2"/>
      </c>
      <c r="E32" s="367">
        <f t="shared" si="3"/>
      </c>
      <c r="F32" s="359" t="e">
        <f t="shared" si="1"/>
        <v>#N/A</v>
      </c>
      <c r="G32" s="357">
        <f t="shared" si="0"/>
      </c>
    </row>
    <row r="33" spans="2:7" ht="12.75">
      <c r="B33" s="355">
        <v>28</v>
      </c>
      <c r="C33" s="326"/>
      <c r="D33" s="355">
        <f t="shared" si="2"/>
      </c>
      <c r="E33" s="367">
        <f t="shared" si="3"/>
      </c>
      <c r="F33" s="359" t="e">
        <f t="shared" si="1"/>
        <v>#N/A</v>
      </c>
      <c r="G33" s="357">
        <f t="shared" si="0"/>
      </c>
    </row>
    <row r="34" spans="2:7" ht="12.75">
      <c r="B34" s="355">
        <v>29</v>
      </c>
      <c r="C34" s="326"/>
      <c r="D34" s="355">
        <f t="shared" si="2"/>
      </c>
      <c r="E34" s="367">
        <f t="shared" si="3"/>
      </c>
      <c r="F34" s="359" t="e">
        <f t="shared" si="1"/>
        <v>#N/A</v>
      </c>
      <c r="G34" s="357">
        <f t="shared" si="0"/>
      </c>
    </row>
    <row r="35" spans="2:7" ht="13.5" thickBot="1">
      <c r="B35" s="355">
        <v>30</v>
      </c>
      <c r="C35" s="326"/>
      <c r="D35" s="355">
        <f t="shared" si="2"/>
      </c>
      <c r="E35" s="367">
        <f t="shared" si="3"/>
      </c>
      <c r="F35" s="368" t="e">
        <f t="shared" si="1"/>
        <v>#N/A</v>
      </c>
      <c r="G35" s="357">
        <f t="shared" si="0"/>
      </c>
    </row>
  </sheetData>
  <conditionalFormatting sqref="E6:E35">
    <cfRule type="expression" priority="1" dxfId="0" stopIfTrue="1">
      <formula>NOT(ISNUMBER(E6))</formula>
    </cfRule>
  </conditionalFormatting>
  <conditionalFormatting sqref="F6:F35">
    <cfRule type="expression" priority="2" dxfId="2" stopIfTrue="1">
      <formula>NOT(ISNUMBER(F6))</formula>
    </cfRule>
  </conditionalFormatting>
  <dataValidations count="1">
    <dataValidation type="decimal" allowBlank="1" showInputMessage="1" showErrorMessage="1" error="The smoothing constant must be between zero and one (inclusive)." sqref="J6:J7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landscape" paperSize="9" scale="64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C5" sqref="C5:C16"/>
    </sheetView>
  </sheetViews>
  <sheetFormatPr defaultColWidth="9.00390625" defaultRowHeight="12"/>
  <cols>
    <col min="1" max="1" width="2.875" style="370" customWidth="1"/>
    <col min="2" max="2" width="5.75390625" style="370" customWidth="1"/>
    <col min="3" max="3" width="8.875" style="370" customWidth="1"/>
    <col min="4" max="4" width="8.75390625" style="370" customWidth="1"/>
    <col min="5" max="5" width="5.875" style="370" customWidth="1"/>
    <col min="6" max="6" width="12.00390625" style="370" customWidth="1"/>
    <col min="7" max="7" width="17.125" style="370" customWidth="1"/>
    <col min="8" max="8" width="5.875" style="370" customWidth="1"/>
    <col min="9" max="9" width="18.375" style="370" bestFit="1" customWidth="1"/>
    <col min="10" max="10" width="9.25390625" style="370" bestFit="1" customWidth="1"/>
    <col min="11" max="11" width="14.375" style="370" customWidth="1"/>
    <col min="12" max="12" width="10.75390625" style="370" customWidth="1"/>
    <col min="13" max="16384" width="10.875" style="370" customWidth="1"/>
  </cols>
  <sheetData>
    <row r="1" ht="18">
      <c r="A1" s="369" t="s">
        <v>92</v>
      </c>
    </row>
    <row r="2" ht="13.5" thickBot="1"/>
    <row r="3" spans="2:10" ht="13.5" thickBot="1">
      <c r="B3" s="371"/>
      <c r="C3" s="371"/>
      <c r="D3" s="371" t="s">
        <v>93</v>
      </c>
      <c r="E3" s="372"/>
      <c r="F3" s="372"/>
      <c r="G3" s="372"/>
      <c r="H3" s="372"/>
      <c r="I3" s="373" t="s">
        <v>501</v>
      </c>
      <c r="J3" s="374" t="s">
        <v>502</v>
      </c>
    </row>
    <row r="4" spans="2:10" ht="12.75">
      <c r="B4" s="87" t="str">
        <f>IF(TypeOfSeasonality="Daily","Week","Year")</f>
        <v>Year</v>
      </c>
      <c r="C4" s="87" t="str">
        <f>IF(TypeOfSeasonality="Quarterly","Quarter",IF(TypeOfSeasonality="Monthly","Month","Day"))</f>
        <v>Quarter</v>
      </c>
      <c r="D4" s="371" t="s">
        <v>433</v>
      </c>
      <c r="E4" s="372"/>
      <c r="F4" s="375" t="s">
        <v>94</v>
      </c>
      <c r="I4" s="376" t="s">
        <v>95</v>
      </c>
      <c r="J4" s="377" t="s">
        <v>96</v>
      </c>
    </row>
    <row r="5" spans="2:10" ht="12.75">
      <c r="B5" s="91">
        <f aca="true" t="shared" si="0" ref="B5:B36">IF(TypeOfSeasonality="Quarterly",TRUNC((ROW(B5)-1)/4),IF(TypeOfSeasonality="Monthly",TRUNC((ROW(B5)+7)/12),TRUNC((ROW(B5))/5)))</f>
        <v>1</v>
      </c>
      <c r="C5" s="91">
        <f aca="true" t="shared" si="1" ref="C5:C36">IF(TypeOfSeasonality="Quarterly",INDEX($F$10:$F$13,MOD(ROW(B5)+3,4)+1,1),IF(TypeOfSeasonality="Monthly",INDEX($F$10:$F$21,MOD(ROW(B5)-5,12)+1,1),INDEX($F$10:$F$14,MOD(ROW(B5),5)+1,1)))</f>
        <v>1</v>
      </c>
      <c r="D5" s="344">
        <v>242</v>
      </c>
      <c r="E5" s="378"/>
      <c r="F5" s="379" t="s">
        <v>97</v>
      </c>
      <c r="G5" s="378"/>
      <c r="I5" s="376" t="s">
        <v>43</v>
      </c>
      <c r="J5" s="377" t="s">
        <v>98</v>
      </c>
    </row>
    <row r="6" spans="2:10" ht="13.5" thickBot="1">
      <c r="B6" s="91">
        <f t="shared" si="0"/>
        <v>1</v>
      </c>
      <c r="C6" s="91">
        <f t="shared" si="1"/>
        <v>2</v>
      </c>
      <c r="D6" s="344">
        <v>282</v>
      </c>
      <c r="E6" s="378"/>
      <c r="I6" s="380" t="s">
        <v>99</v>
      </c>
      <c r="J6" s="381" t="s">
        <v>100</v>
      </c>
    </row>
    <row r="7" spans="2:5" ht="12.75">
      <c r="B7" s="91">
        <f t="shared" si="0"/>
        <v>1</v>
      </c>
      <c r="C7" s="91">
        <f t="shared" si="1"/>
        <v>3</v>
      </c>
      <c r="D7" s="344">
        <v>254</v>
      </c>
      <c r="E7" s="378"/>
    </row>
    <row r="8" spans="2:7" ht="12.75">
      <c r="B8" s="91">
        <f t="shared" si="0"/>
        <v>1</v>
      </c>
      <c r="C8" s="91">
        <f t="shared" si="1"/>
        <v>4</v>
      </c>
      <c r="D8" s="344">
        <v>345</v>
      </c>
      <c r="E8" s="378"/>
      <c r="G8" s="371" t="s">
        <v>101</v>
      </c>
    </row>
    <row r="9" spans="2:7" ht="13.5" thickBot="1">
      <c r="B9" s="91">
        <f t="shared" si="0"/>
        <v>2</v>
      </c>
      <c r="C9" s="91">
        <f t="shared" si="1"/>
        <v>1</v>
      </c>
      <c r="D9" s="344">
        <v>253</v>
      </c>
      <c r="E9" s="378"/>
      <c r="F9" s="87" t="str">
        <f>IF(TypeOfSeasonality="Quarterly","Quarter",IF(TypeOfSeasonality="Monthly","Month","Day"))</f>
        <v>Quarter</v>
      </c>
      <c r="G9" s="371" t="s">
        <v>102</v>
      </c>
    </row>
    <row r="10" spans="2:7" ht="12.75">
      <c r="B10" s="91">
        <f t="shared" si="0"/>
        <v>2</v>
      </c>
      <c r="C10" s="91">
        <f t="shared" si="1"/>
        <v>2</v>
      </c>
      <c r="D10" s="344">
        <v>290</v>
      </c>
      <c r="E10" s="378"/>
      <c r="F10" s="91">
        <f>IF(TypeOfSeasonality="Quarterly",1,IF(TypeOfSeasonality="Monthly","Jan","Mon"))</f>
        <v>1</v>
      </c>
      <c r="G10" s="382">
        <f>IF(TypeOfSeasonality="Quarterly",AVERAGE(D5,D9,D13,D17,D21,D25,D29,D33,D37,D41,D45,D49,D53,D57,D61,D65)/AVERAGE(TrueValue),IF(TypeOfSeasonality="Monthly",AVERAGE(D5,D17,D29,D41,D53,D65)/AVERAGE(TrueValue),AVERAGE(D5,D10,D15,D20,D25,D30,D35,D40,D45,D50,D55,D60,D65)/AVERAGE(TrueValue)))</f>
        <v>0.8780487804878048</v>
      </c>
    </row>
    <row r="11" spans="2:7" ht="12.75">
      <c r="B11" s="91">
        <f t="shared" si="0"/>
        <v>2</v>
      </c>
      <c r="C11" s="91">
        <f t="shared" si="1"/>
        <v>3</v>
      </c>
      <c r="D11" s="344">
        <v>262</v>
      </c>
      <c r="E11" s="378"/>
      <c r="F11" s="91">
        <f>IF(TypeOfSeasonality="Quarterly",2,IF(TypeOfSeasonality="Monthly","Feb","Tue"))</f>
        <v>2</v>
      </c>
      <c r="G11" s="383">
        <f>IF(TypeOfSeasonality="Quarterly",AVERAGE(D6,D10,D14,D18,D22,D26,D30,D34,D38,D42,D46,D50,D54,D58,D62,D66)/AVERAGE(TrueValue),IF(TypeOfSeasonality="Monthly",AVERAGE(D6,D18,D30,D42,D54,D66)/AVERAGE(TrueValue),AVERAGE(D6,D11,D16,D21,D26,D31,D36,D41,D46,D51,D56,D61,D66)/AVERAGE(TrueValue)))</f>
        <v>0.9847919655667144</v>
      </c>
    </row>
    <row r="12" spans="2:7" ht="12.75">
      <c r="B12" s="91">
        <f t="shared" si="0"/>
        <v>2</v>
      </c>
      <c r="C12" s="91">
        <f t="shared" si="1"/>
        <v>4</v>
      </c>
      <c r="D12" s="344">
        <v>352</v>
      </c>
      <c r="E12" s="378"/>
      <c r="F12" s="91">
        <f>IF(TypeOfSeasonality="Quarterly",3,IF(TypeOfSeasonality="Monthly","Mar","Wed"))</f>
        <v>3</v>
      </c>
      <c r="G12" s="383">
        <f>IF(TypeOfSeasonality="Quarterly",AVERAGE(D7,D11,D15,D19,D23,D27,D31,D35,D39,D43,D47,D51,D55,D59,D63,D67)/AVERAGE(TrueValue),IF(TypeOfSeasonality="Monthly",AVERAGE(D7,D19,D31,D43,D55,D67)/AVERAGE(TrueValue),AVERAGE(D7,D12,D17,D22,D27,D32,D37,D42,D47,D52,D57,D62,D67)/AVERAGE(TrueValue)))</f>
        <v>0.903299856527977</v>
      </c>
    </row>
    <row r="13" spans="2:7" ht="12.75">
      <c r="B13" s="91">
        <f t="shared" si="0"/>
        <v>3</v>
      </c>
      <c r="C13" s="91">
        <f t="shared" si="1"/>
        <v>1</v>
      </c>
      <c r="D13" s="344">
        <v>270</v>
      </c>
      <c r="E13" s="378"/>
      <c r="F13" s="91">
        <f>IF(TypeOfSeasonality="Quarterly",4,IF(TypeOfSeasonality="Monthly","Apr","Thur"))</f>
        <v>4</v>
      </c>
      <c r="G13" s="383">
        <f>IF(TypeOfSeasonality="Quarterly",AVERAGE(D8,D12,D16,D20,D24,D28,D32,D36,D40,D44,D48,D52,D56,D60,D64,D68)/AVERAGE(TrueValue),IF(TypeOfSeasonality="Monthly",AVERAGE(D8,D20,D32,D44,D56,D68)/AVERAGE(TrueValue),AVERAGE(D8,D13,D18,D23,D28,D33,D38,D43,D48,D53,D58,D63,D68)/AVERAGE(TrueValue)))</f>
        <v>1.2338593974175034</v>
      </c>
    </row>
    <row r="14" spans="2:7" ht="12.75">
      <c r="B14" s="91">
        <f t="shared" si="0"/>
        <v>3</v>
      </c>
      <c r="C14" s="91">
        <f t="shared" si="1"/>
        <v>2</v>
      </c>
      <c r="D14" s="344">
        <v>286</v>
      </c>
      <c r="E14" s="378"/>
      <c r="F14" s="91">
        <f>IF(TypeOfSeasonality="Quarterly","",IF(TypeOfSeasonality="Monthly","May","Fri"))</f>
      </c>
      <c r="G14" s="384">
        <f>IF(TypeOfSeasonality="Quarterly","",IF(TypeOfSeasonality="Monthly",AVERAGE(D9,D21,D33,D45,D57,D69)/AVERAGE(TrueValue),AVERAGE(D9,D14,D19,D24,D29,D34,D39,D44,D49,D54,D59,D64,D69)/AVERAGE(TrueValue)))</f>
      </c>
    </row>
    <row r="15" spans="2:7" ht="12.75">
      <c r="B15" s="91">
        <f t="shared" si="0"/>
        <v>3</v>
      </c>
      <c r="C15" s="91">
        <f t="shared" si="1"/>
        <v>3</v>
      </c>
      <c r="D15" s="344">
        <v>271</v>
      </c>
      <c r="E15" s="378"/>
      <c r="F15" s="91">
        <f>IF(TypeOfSeasonality="Monthly","June","")</f>
      </c>
      <c r="G15" s="384">
        <f aca="true" t="shared" si="2" ref="G15:G21">IF(TypeOfSeasonality="Monthly",AVERAGE(D10,D22,D34,D46,D58)/AVERAGE(TrueValue),"")</f>
      </c>
    </row>
    <row r="16" spans="2:7" ht="12.75">
      <c r="B16" s="91">
        <f t="shared" si="0"/>
        <v>3</v>
      </c>
      <c r="C16" s="91">
        <f t="shared" si="1"/>
        <v>4</v>
      </c>
      <c r="D16" s="344">
        <v>378</v>
      </c>
      <c r="E16" s="378"/>
      <c r="F16" s="91">
        <f>IF(TypeOfSeasonality="Monthly","July","")</f>
      </c>
      <c r="G16" s="384">
        <f t="shared" si="2"/>
      </c>
    </row>
    <row r="17" spans="2:7" ht="12.75">
      <c r="B17" s="91">
        <f t="shared" si="0"/>
        <v>4</v>
      </c>
      <c r="C17" s="91">
        <f t="shared" si="1"/>
        <v>1</v>
      </c>
      <c r="D17" s="385"/>
      <c r="E17" s="378"/>
      <c r="F17" s="91">
        <f>IF(TypeOfSeasonality="Monthly","Aug","")</f>
      </c>
      <c r="G17" s="384">
        <f t="shared" si="2"/>
      </c>
    </row>
    <row r="18" spans="2:7" ht="12.75">
      <c r="B18" s="91">
        <f t="shared" si="0"/>
        <v>4</v>
      </c>
      <c r="C18" s="91">
        <f t="shared" si="1"/>
        <v>2</v>
      </c>
      <c r="D18" s="385"/>
      <c r="E18" s="378"/>
      <c r="F18" s="91">
        <f>IF(TypeOfSeasonality="Monthly","Sep","")</f>
      </c>
      <c r="G18" s="384">
        <f t="shared" si="2"/>
      </c>
    </row>
    <row r="19" spans="2:7" ht="12.75">
      <c r="B19" s="91">
        <f t="shared" si="0"/>
        <v>4</v>
      </c>
      <c r="C19" s="91">
        <f t="shared" si="1"/>
        <v>3</v>
      </c>
      <c r="D19" s="385"/>
      <c r="E19" s="378"/>
      <c r="F19" s="91">
        <f>IF(TypeOfSeasonality="Monthly","Oct","")</f>
      </c>
      <c r="G19" s="384">
        <f t="shared" si="2"/>
      </c>
    </row>
    <row r="20" spans="2:7" ht="12.75">
      <c r="B20" s="91">
        <f t="shared" si="0"/>
        <v>4</v>
      </c>
      <c r="C20" s="91">
        <f t="shared" si="1"/>
        <v>4</v>
      </c>
      <c r="D20" s="385"/>
      <c r="E20" s="378"/>
      <c r="F20" s="91">
        <f>IF(TypeOfSeasonality="Monthly","Nov","")</f>
      </c>
      <c r="G20" s="384">
        <f t="shared" si="2"/>
      </c>
    </row>
    <row r="21" spans="2:10" ht="13.5" thickBot="1">
      <c r="B21" s="91">
        <f t="shared" si="0"/>
        <v>5</v>
      </c>
      <c r="C21" s="91">
        <f t="shared" si="1"/>
        <v>1</v>
      </c>
      <c r="D21" s="385"/>
      <c r="E21" s="378"/>
      <c r="F21" s="91">
        <f>IF(TypeOfSeasonality="Monthly","Dec","")</f>
      </c>
      <c r="G21" s="386">
        <f t="shared" si="2"/>
      </c>
      <c r="H21" s="378"/>
      <c r="J21" s="375"/>
    </row>
    <row r="22" spans="2:11" ht="12.75">
      <c r="B22" s="91">
        <f t="shared" si="0"/>
        <v>5</v>
      </c>
      <c r="C22" s="91">
        <f t="shared" si="1"/>
        <v>2</v>
      </c>
      <c r="D22" s="385"/>
      <c r="E22" s="378"/>
      <c r="F22" s="378"/>
      <c r="G22" s="378"/>
      <c r="H22" s="378"/>
      <c r="J22" s="387"/>
      <c r="K22" s="378"/>
    </row>
    <row r="23" spans="2:8" ht="12.75">
      <c r="B23" s="91">
        <f t="shared" si="0"/>
        <v>5</v>
      </c>
      <c r="C23" s="91">
        <f t="shared" si="1"/>
        <v>3</v>
      </c>
      <c r="D23" s="385"/>
      <c r="E23" s="378"/>
      <c r="F23" s="378"/>
      <c r="G23" s="378"/>
      <c r="H23" s="378"/>
    </row>
    <row r="24" spans="2:8" ht="12.75">
      <c r="B24" s="91">
        <f t="shared" si="0"/>
        <v>5</v>
      </c>
      <c r="C24" s="91">
        <f t="shared" si="1"/>
        <v>4</v>
      </c>
      <c r="D24" s="385"/>
      <c r="E24" s="378"/>
      <c r="F24" s="378"/>
      <c r="G24" s="378"/>
      <c r="H24" s="378"/>
    </row>
    <row r="25" spans="2:8" ht="12.75">
      <c r="B25" s="91">
        <f t="shared" si="0"/>
        <v>6</v>
      </c>
      <c r="C25" s="91">
        <f t="shared" si="1"/>
        <v>1</v>
      </c>
      <c r="D25" s="385"/>
      <c r="E25" s="378"/>
      <c r="F25" s="378"/>
      <c r="G25" s="378"/>
      <c r="H25" s="378"/>
    </row>
    <row r="26" spans="2:8" ht="12.75">
      <c r="B26" s="91">
        <f t="shared" si="0"/>
        <v>6</v>
      </c>
      <c r="C26" s="91">
        <f t="shared" si="1"/>
        <v>2</v>
      </c>
      <c r="D26" s="385"/>
      <c r="E26" s="378"/>
      <c r="F26" s="378"/>
      <c r="G26" s="378"/>
      <c r="H26" s="378"/>
    </row>
    <row r="27" spans="2:8" ht="12.75">
      <c r="B27" s="91">
        <f t="shared" si="0"/>
        <v>6</v>
      </c>
      <c r="C27" s="91">
        <f t="shared" si="1"/>
        <v>3</v>
      </c>
      <c r="D27" s="385"/>
      <c r="E27" s="378"/>
      <c r="F27" s="378"/>
      <c r="G27" s="378"/>
      <c r="H27" s="378"/>
    </row>
    <row r="28" spans="2:8" ht="12.75">
      <c r="B28" s="91">
        <f t="shared" si="0"/>
        <v>6</v>
      </c>
      <c r="C28" s="91">
        <f t="shared" si="1"/>
        <v>4</v>
      </c>
      <c r="D28" s="385"/>
      <c r="E28" s="378"/>
      <c r="F28" s="378"/>
      <c r="G28" s="378"/>
      <c r="H28" s="378"/>
    </row>
    <row r="29" spans="2:8" ht="12.75">
      <c r="B29" s="91">
        <f t="shared" si="0"/>
        <v>7</v>
      </c>
      <c r="C29" s="91">
        <f t="shared" si="1"/>
        <v>1</v>
      </c>
      <c r="D29" s="385"/>
      <c r="E29" s="378"/>
      <c r="F29" s="378"/>
      <c r="G29" s="378"/>
      <c r="H29" s="378"/>
    </row>
    <row r="30" spans="2:8" ht="12.75">
      <c r="B30" s="91">
        <f t="shared" si="0"/>
        <v>7</v>
      </c>
      <c r="C30" s="91">
        <f t="shared" si="1"/>
        <v>2</v>
      </c>
      <c r="D30" s="385"/>
      <c r="E30" s="378"/>
      <c r="F30" s="378"/>
      <c r="G30" s="378"/>
      <c r="H30" s="378"/>
    </row>
    <row r="31" spans="2:8" ht="12.75">
      <c r="B31" s="91">
        <f t="shared" si="0"/>
        <v>7</v>
      </c>
      <c r="C31" s="91">
        <f t="shared" si="1"/>
        <v>3</v>
      </c>
      <c r="D31" s="385"/>
      <c r="E31" s="378"/>
      <c r="F31" s="378"/>
      <c r="G31" s="378"/>
      <c r="H31" s="378"/>
    </row>
    <row r="32" spans="2:8" ht="12.75">
      <c r="B32" s="91">
        <f t="shared" si="0"/>
        <v>7</v>
      </c>
      <c r="C32" s="91">
        <f t="shared" si="1"/>
        <v>4</v>
      </c>
      <c r="D32" s="385"/>
      <c r="E32" s="378"/>
      <c r="F32" s="378"/>
      <c r="G32" s="378"/>
      <c r="H32" s="378"/>
    </row>
    <row r="33" spans="2:8" ht="12.75">
      <c r="B33" s="91">
        <f t="shared" si="0"/>
        <v>8</v>
      </c>
      <c r="C33" s="91">
        <f t="shared" si="1"/>
        <v>1</v>
      </c>
      <c r="D33" s="385"/>
      <c r="E33" s="378"/>
      <c r="F33" s="378"/>
      <c r="G33" s="378"/>
      <c r="H33" s="378"/>
    </row>
    <row r="34" spans="2:8" ht="12.75">
      <c r="B34" s="91">
        <f t="shared" si="0"/>
        <v>8</v>
      </c>
      <c r="C34" s="91">
        <f t="shared" si="1"/>
        <v>2</v>
      </c>
      <c r="D34" s="385"/>
      <c r="E34" s="378"/>
      <c r="F34" s="378"/>
      <c r="G34" s="378"/>
      <c r="H34" s="378"/>
    </row>
    <row r="35" spans="2:4" ht="12.75">
      <c r="B35" s="91">
        <f t="shared" si="0"/>
        <v>8</v>
      </c>
      <c r="C35" s="91">
        <f t="shared" si="1"/>
        <v>3</v>
      </c>
      <c r="D35" s="385"/>
    </row>
    <row r="36" spans="2:4" ht="12.75">
      <c r="B36" s="91">
        <f t="shared" si="0"/>
        <v>8</v>
      </c>
      <c r="C36" s="91">
        <f t="shared" si="1"/>
        <v>4</v>
      </c>
      <c r="D36" s="385"/>
    </row>
    <row r="37" spans="2:4" ht="12.75">
      <c r="B37" s="91">
        <f aca="true" t="shared" si="3" ref="B37:B69">IF(TypeOfSeasonality="Quarterly",TRUNC((ROW(B37)-1)/4),IF(TypeOfSeasonality="Monthly",TRUNC((ROW(B37)+7)/12),TRUNC((ROW(B37))/5)))</f>
        <v>9</v>
      </c>
      <c r="C37" s="91">
        <f aca="true" t="shared" si="4" ref="C37:C68">IF(TypeOfSeasonality="Quarterly",INDEX($F$10:$F$13,MOD(ROW(B37)+3,4)+1,1),IF(TypeOfSeasonality="Monthly",INDEX($F$10:$F$21,MOD(ROW(B37)-5,12)+1,1),INDEX($F$10:$F$14,MOD(ROW(B37),5)+1,1)))</f>
        <v>1</v>
      </c>
      <c r="D37" s="385"/>
    </row>
    <row r="38" spans="2:4" ht="12.75">
      <c r="B38" s="91">
        <f t="shared" si="3"/>
        <v>9</v>
      </c>
      <c r="C38" s="91">
        <f t="shared" si="4"/>
        <v>2</v>
      </c>
      <c r="D38" s="385"/>
    </row>
    <row r="39" spans="2:4" ht="12.75">
      <c r="B39" s="91">
        <f t="shared" si="3"/>
        <v>9</v>
      </c>
      <c r="C39" s="91">
        <f t="shared" si="4"/>
        <v>3</v>
      </c>
      <c r="D39" s="385"/>
    </row>
    <row r="40" spans="2:4" ht="12.75">
      <c r="B40" s="91">
        <f t="shared" si="3"/>
        <v>9</v>
      </c>
      <c r="C40" s="91">
        <f t="shared" si="4"/>
        <v>4</v>
      </c>
      <c r="D40" s="385"/>
    </row>
    <row r="41" spans="2:4" ht="12.75">
      <c r="B41" s="91">
        <f t="shared" si="3"/>
        <v>10</v>
      </c>
      <c r="C41" s="91">
        <f t="shared" si="4"/>
        <v>1</v>
      </c>
      <c r="D41" s="385"/>
    </row>
    <row r="42" spans="2:4" ht="12.75">
      <c r="B42" s="91">
        <f t="shared" si="3"/>
        <v>10</v>
      </c>
      <c r="C42" s="91">
        <f t="shared" si="4"/>
        <v>2</v>
      </c>
      <c r="D42" s="385"/>
    </row>
    <row r="43" spans="2:4" ht="12.75">
      <c r="B43" s="91">
        <f t="shared" si="3"/>
        <v>10</v>
      </c>
      <c r="C43" s="91">
        <f t="shared" si="4"/>
        <v>3</v>
      </c>
      <c r="D43" s="385"/>
    </row>
    <row r="44" spans="2:4" ht="12.75">
      <c r="B44" s="91">
        <f t="shared" si="3"/>
        <v>10</v>
      </c>
      <c r="C44" s="91">
        <f t="shared" si="4"/>
        <v>4</v>
      </c>
      <c r="D44" s="385"/>
    </row>
    <row r="45" spans="2:4" ht="12.75">
      <c r="B45" s="91">
        <f t="shared" si="3"/>
        <v>11</v>
      </c>
      <c r="C45" s="91">
        <f t="shared" si="4"/>
        <v>1</v>
      </c>
      <c r="D45" s="385"/>
    </row>
    <row r="46" spans="2:4" ht="12.75">
      <c r="B46" s="91">
        <f t="shared" si="3"/>
        <v>11</v>
      </c>
      <c r="C46" s="91">
        <f t="shared" si="4"/>
        <v>2</v>
      </c>
      <c r="D46" s="385"/>
    </row>
    <row r="47" spans="2:4" ht="12.75">
      <c r="B47" s="91">
        <f t="shared" si="3"/>
        <v>11</v>
      </c>
      <c r="C47" s="91">
        <f t="shared" si="4"/>
        <v>3</v>
      </c>
      <c r="D47" s="385"/>
    </row>
    <row r="48" spans="2:4" ht="12.75">
      <c r="B48" s="91">
        <f t="shared" si="3"/>
        <v>11</v>
      </c>
      <c r="C48" s="91">
        <f t="shared" si="4"/>
        <v>4</v>
      </c>
      <c r="D48" s="385"/>
    </row>
    <row r="49" spans="2:4" ht="12.75">
      <c r="B49" s="91">
        <f t="shared" si="3"/>
        <v>12</v>
      </c>
      <c r="C49" s="91">
        <f t="shared" si="4"/>
        <v>1</v>
      </c>
      <c r="D49" s="385"/>
    </row>
    <row r="50" spans="2:4" ht="12.75">
      <c r="B50" s="91">
        <f t="shared" si="3"/>
        <v>12</v>
      </c>
      <c r="C50" s="91">
        <f t="shared" si="4"/>
        <v>2</v>
      </c>
      <c r="D50" s="385"/>
    </row>
    <row r="51" spans="2:4" ht="12.75">
      <c r="B51" s="91">
        <f t="shared" si="3"/>
        <v>12</v>
      </c>
      <c r="C51" s="91">
        <f t="shared" si="4"/>
        <v>3</v>
      </c>
      <c r="D51" s="385"/>
    </row>
    <row r="52" spans="2:4" ht="12.75">
      <c r="B52" s="91">
        <f t="shared" si="3"/>
        <v>12</v>
      </c>
      <c r="C52" s="91">
        <f t="shared" si="4"/>
        <v>4</v>
      </c>
      <c r="D52" s="385"/>
    </row>
    <row r="53" spans="2:4" ht="12.75">
      <c r="B53" s="91">
        <f t="shared" si="3"/>
        <v>13</v>
      </c>
      <c r="C53" s="91">
        <f t="shared" si="4"/>
        <v>1</v>
      </c>
      <c r="D53" s="385"/>
    </row>
    <row r="54" spans="2:4" ht="12.75">
      <c r="B54" s="91">
        <f t="shared" si="3"/>
        <v>13</v>
      </c>
      <c r="C54" s="91">
        <f t="shared" si="4"/>
        <v>2</v>
      </c>
      <c r="D54" s="385"/>
    </row>
    <row r="55" spans="2:4" ht="12.75">
      <c r="B55" s="91">
        <f t="shared" si="3"/>
        <v>13</v>
      </c>
      <c r="C55" s="91">
        <f t="shared" si="4"/>
        <v>3</v>
      </c>
      <c r="D55" s="385"/>
    </row>
    <row r="56" spans="2:4" ht="12.75">
      <c r="B56" s="91">
        <f t="shared" si="3"/>
        <v>13</v>
      </c>
      <c r="C56" s="91">
        <f t="shared" si="4"/>
        <v>4</v>
      </c>
      <c r="D56" s="385"/>
    </row>
    <row r="57" spans="2:4" ht="12.75">
      <c r="B57" s="91">
        <f t="shared" si="3"/>
        <v>14</v>
      </c>
      <c r="C57" s="91">
        <f t="shared" si="4"/>
        <v>1</v>
      </c>
      <c r="D57" s="385"/>
    </row>
    <row r="58" spans="2:4" ht="12.75">
      <c r="B58" s="91">
        <f t="shared" si="3"/>
        <v>14</v>
      </c>
      <c r="C58" s="91">
        <f t="shared" si="4"/>
        <v>2</v>
      </c>
      <c r="D58" s="385"/>
    </row>
    <row r="59" spans="2:4" ht="12.75">
      <c r="B59" s="91">
        <f t="shared" si="3"/>
        <v>14</v>
      </c>
      <c r="C59" s="91">
        <f t="shared" si="4"/>
        <v>3</v>
      </c>
      <c r="D59" s="385"/>
    </row>
    <row r="60" spans="2:4" ht="12.75">
      <c r="B60" s="91">
        <f t="shared" si="3"/>
        <v>14</v>
      </c>
      <c r="C60" s="91">
        <f t="shared" si="4"/>
        <v>4</v>
      </c>
      <c r="D60" s="385"/>
    </row>
    <row r="61" spans="2:4" ht="12.75">
      <c r="B61" s="91">
        <f t="shared" si="3"/>
        <v>15</v>
      </c>
      <c r="C61" s="91">
        <f t="shared" si="4"/>
        <v>1</v>
      </c>
      <c r="D61" s="385"/>
    </row>
    <row r="62" spans="2:4" ht="12.75">
      <c r="B62" s="91">
        <f t="shared" si="3"/>
        <v>15</v>
      </c>
      <c r="C62" s="91">
        <f t="shared" si="4"/>
        <v>2</v>
      </c>
      <c r="D62" s="385"/>
    </row>
    <row r="63" spans="2:4" ht="12.75">
      <c r="B63" s="91">
        <f t="shared" si="3"/>
        <v>15</v>
      </c>
      <c r="C63" s="91">
        <f t="shared" si="4"/>
        <v>3</v>
      </c>
      <c r="D63" s="385"/>
    </row>
    <row r="64" spans="2:4" ht="12.75">
      <c r="B64" s="91">
        <f t="shared" si="3"/>
        <v>15</v>
      </c>
      <c r="C64" s="91">
        <f t="shared" si="4"/>
        <v>4</v>
      </c>
      <c r="D64" s="385"/>
    </row>
    <row r="65" spans="2:4" ht="12.75">
      <c r="B65" s="91">
        <f t="shared" si="3"/>
        <v>16</v>
      </c>
      <c r="C65" s="91">
        <f t="shared" si="4"/>
        <v>1</v>
      </c>
      <c r="D65" s="385"/>
    </row>
    <row r="66" spans="2:4" ht="12.75">
      <c r="B66" s="91">
        <f t="shared" si="3"/>
        <v>16</v>
      </c>
      <c r="C66" s="91">
        <f t="shared" si="4"/>
        <v>2</v>
      </c>
      <c r="D66" s="385"/>
    </row>
    <row r="67" spans="2:4" ht="12.75">
      <c r="B67" s="91">
        <f t="shared" si="3"/>
        <v>16</v>
      </c>
      <c r="C67" s="91">
        <f t="shared" si="4"/>
        <v>3</v>
      </c>
      <c r="D67" s="385"/>
    </row>
    <row r="68" spans="2:4" ht="12.75">
      <c r="B68" s="91">
        <f t="shared" si="3"/>
        <v>16</v>
      </c>
      <c r="C68" s="91">
        <f t="shared" si="4"/>
        <v>4</v>
      </c>
      <c r="D68" s="385"/>
    </row>
    <row r="69" spans="2:4" ht="12.75">
      <c r="B69" s="91">
        <f t="shared" si="3"/>
        <v>17</v>
      </c>
      <c r="C69" s="91">
        <f>IF(TypeOfSeasonality="Quarterly",INDEX($F$10:$F$13,MOD(ROW(B69)+3,4)+1,1),IF(TypeOfSeasonality="Monthly",INDEX($F$10:$F$21,MOD(ROW(B69)-5,12)+1,1),INDEX($F$10:$F$14,MOD(ROW(B69),5)+1,1)))</f>
        <v>1</v>
      </c>
      <c r="D69" s="385"/>
    </row>
  </sheetData>
  <conditionalFormatting sqref="G15:G21">
    <cfRule type="expression" priority="1" dxfId="2" stopIfTrue="1">
      <formula>($F$5="Monthly")</formula>
    </cfRule>
  </conditionalFormatting>
  <conditionalFormatting sqref="G14">
    <cfRule type="expression" priority="2" dxfId="2" stopIfTrue="1">
      <formula>($F$5&lt;&gt;"Quarterly")</formula>
    </cfRule>
  </conditionalFormatting>
  <dataValidations count="1">
    <dataValidation type="list" allowBlank="1" showInputMessage="1" showErrorMessage="1" sqref="F5">
      <formula1>"Quarterly,Monthly,Daily"</formula1>
    </dataValidation>
  </dataValidations>
  <printOptions gridLines="1" headings="1"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C5" sqref="C5:C16"/>
    </sheetView>
  </sheetViews>
  <sheetFormatPr defaultColWidth="9.00390625" defaultRowHeight="12"/>
  <cols>
    <col min="1" max="1" width="2.875" style="30" customWidth="1"/>
    <col min="2" max="2" width="5.75390625" style="30" bestFit="1" customWidth="1"/>
    <col min="3" max="3" width="8.875" style="30" customWidth="1"/>
    <col min="4" max="4" width="8.75390625" style="30" customWidth="1"/>
    <col min="5" max="6" width="11.75390625" style="30" customWidth="1"/>
    <col min="7" max="7" width="10.00390625" style="30" customWidth="1"/>
    <col min="8" max="8" width="12.75390625" style="30" customWidth="1"/>
    <col min="9" max="9" width="4.25390625" style="30" customWidth="1"/>
    <col min="10" max="10" width="9.25390625" style="30" customWidth="1"/>
    <col min="11" max="11" width="20.00390625" style="30" customWidth="1"/>
    <col min="12" max="12" width="5.875" style="30" customWidth="1"/>
    <col min="13" max="13" width="26.875" style="30" bestFit="1" customWidth="1"/>
    <col min="14" max="14" width="8.125" style="30" bestFit="1" customWidth="1"/>
    <col min="15" max="16384" width="10.875" style="30" customWidth="1"/>
  </cols>
  <sheetData>
    <row r="1" ht="18">
      <c r="A1" s="28" t="s">
        <v>103</v>
      </c>
    </row>
    <row r="2" ht="13.5" thickBot="1"/>
    <row r="3" spans="5:14" ht="13.5" thickBot="1">
      <c r="E3" s="87" t="s">
        <v>104</v>
      </c>
      <c r="F3" s="87" t="s">
        <v>104</v>
      </c>
      <c r="M3" s="388" t="s">
        <v>501</v>
      </c>
      <c r="N3" s="389" t="s">
        <v>502</v>
      </c>
    </row>
    <row r="4" spans="2:14" ht="12.75">
      <c r="B4" s="87"/>
      <c r="C4" s="87"/>
      <c r="D4" s="87" t="s">
        <v>93</v>
      </c>
      <c r="E4" s="87" t="s">
        <v>105</v>
      </c>
      <c r="F4" s="87" t="s">
        <v>105</v>
      </c>
      <c r="G4" s="87" t="s">
        <v>360</v>
      </c>
      <c r="H4" s="87" t="s">
        <v>28</v>
      </c>
      <c r="M4" s="376" t="s">
        <v>106</v>
      </c>
      <c r="N4" s="377" t="s">
        <v>107</v>
      </c>
    </row>
    <row r="5" spans="2:14" ht="13.5" thickBot="1">
      <c r="B5" s="87" t="str">
        <f>IF(TypeOfSeasonality="Daily","Week","Year")</f>
        <v>Year</v>
      </c>
      <c r="C5" s="87" t="str">
        <f>IF(TypeOfSeasonality="Quarterly","Quarter",IF(TypeOfSeasonality="Monthly","Month","Day"))</f>
        <v>Quarter</v>
      </c>
      <c r="D5" s="87" t="s">
        <v>433</v>
      </c>
      <c r="E5" s="87" t="s">
        <v>433</v>
      </c>
      <c r="F5" s="87" t="s">
        <v>30</v>
      </c>
      <c r="G5" s="87" t="s">
        <v>30</v>
      </c>
      <c r="H5" s="87" t="s">
        <v>31</v>
      </c>
      <c r="K5" s="87" t="s">
        <v>94</v>
      </c>
      <c r="M5" s="376" t="s">
        <v>35</v>
      </c>
      <c r="N5" s="377" t="s">
        <v>108</v>
      </c>
    </row>
    <row r="6" spans="2:14" ht="12.75">
      <c r="B6" s="91">
        <f aca="true" t="shared" si="0" ref="B6:B37">IF(TypeOfSeasonality="Quarterly",TRUNC((ROW(B6)-2)/4),IF(TypeOfSeasonality="Monthly",TRUNC((ROW(B6)+6)/12),TRUNC((ROW(B6)-1)/5)))</f>
        <v>1</v>
      </c>
      <c r="C6" s="91">
        <f aca="true" t="shared" si="1" ref="C6:C37">IF(TypeOfSeasonality="Quarterly",INDEX($J$9:$J$12,MOD(ROW(B6)+2,4)+1,1),IF(TypeOfSeasonality="Monthly",INDEX($J$9:$J$20,MOD(ROW(B6)-6,12)+1,1),INDEX($J$9:$J$13,MOD(ROW(B6)-1,5)+1,1)))</f>
        <v>1</v>
      </c>
      <c r="D6" s="344">
        <v>242</v>
      </c>
      <c r="E6" s="390">
        <f aca="true" t="shared" si="2" ref="E6:E37">IF(ISNUMBER(TrueValue),TrueValue/VLOOKUP(C6,$J$9:$K$20,2,FALSE),NA())</f>
        <v>275.626423690205</v>
      </c>
      <c r="F6" s="390"/>
      <c r="G6" s="391"/>
      <c r="H6" s="390"/>
      <c r="K6" s="90" t="s">
        <v>97</v>
      </c>
      <c r="M6" s="376" t="s">
        <v>37</v>
      </c>
      <c r="N6" s="377" t="s">
        <v>109</v>
      </c>
    </row>
    <row r="7" spans="2:14" ht="12.75">
      <c r="B7" s="91">
        <f t="shared" si="0"/>
        <v>1</v>
      </c>
      <c r="C7" s="91">
        <f t="shared" si="1"/>
        <v>2</v>
      </c>
      <c r="D7" s="344">
        <v>282</v>
      </c>
      <c r="E7" s="390">
        <f t="shared" si="2"/>
        <v>286.35255889520715</v>
      </c>
      <c r="F7" s="390">
        <f aca="true" t="shared" si="3" ref="F7:F38">IF(ISNUMBER(D6),E6,NA())</f>
        <v>275.626423690205</v>
      </c>
      <c r="G7" s="392">
        <f aca="true" t="shared" si="4" ref="G7:G38">IF(ISNUMBER(SeasonallyAdjustedForecast),SeasonallyAdjustedForecast*VLOOKUP(C7,$J$9:$K$20,2,FALSE),"")</f>
        <v>271.4369020501139</v>
      </c>
      <c r="H7" s="390">
        <f aca="true" t="shared" si="5" ref="H7:H38">IF(AND(ISNUMBER(TrueValue),ISNUMBER(ActualForecast)),ABS(TrueValue-ActualForecast),"")</f>
        <v>10.563097949886128</v>
      </c>
      <c r="M7" s="376" t="s">
        <v>40</v>
      </c>
      <c r="N7" s="377" t="s">
        <v>110</v>
      </c>
    </row>
    <row r="8" spans="2:14" ht="12.75">
      <c r="B8" s="91">
        <f t="shared" si="0"/>
        <v>1</v>
      </c>
      <c r="C8" s="91">
        <f t="shared" si="1"/>
        <v>3</v>
      </c>
      <c r="D8" s="344">
        <v>254</v>
      </c>
      <c r="E8" s="390">
        <f t="shared" si="2"/>
        <v>281.19118786671095</v>
      </c>
      <c r="F8" s="390">
        <f t="shared" si="3"/>
        <v>286.35255889520715</v>
      </c>
      <c r="G8" s="392">
        <f t="shared" si="4"/>
        <v>258.66226645004065</v>
      </c>
      <c r="H8" s="390">
        <f t="shared" si="5"/>
        <v>4.662266450040647</v>
      </c>
      <c r="J8" s="87" t="str">
        <f>IF(TypeOfSeasonality="Quarterly","Quarter",IF(TypeOfSeasonality="Monthly","Month","Day"))</f>
        <v>Quarter</v>
      </c>
      <c r="K8" s="87" t="s">
        <v>102</v>
      </c>
      <c r="M8" s="376" t="s">
        <v>95</v>
      </c>
      <c r="N8" s="377" t="s">
        <v>111</v>
      </c>
    </row>
    <row r="9" spans="2:14" ht="12.75">
      <c r="B9" s="91">
        <f t="shared" si="0"/>
        <v>1</v>
      </c>
      <c r="C9" s="91">
        <f t="shared" si="1"/>
        <v>4</v>
      </c>
      <c r="D9" s="344">
        <v>345</v>
      </c>
      <c r="E9" s="390">
        <f t="shared" si="2"/>
        <v>279.6012642839776</v>
      </c>
      <c r="F9" s="390">
        <f t="shared" si="3"/>
        <v>281.19118786671095</v>
      </c>
      <c r="G9" s="392">
        <f t="shared" si="4"/>
        <v>346.9618067087346</v>
      </c>
      <c r="H9" s="390">
        <f t="shared" si="5"/>
        <v>1.9618067087346276</v>
      </c>
      <c r="J9" s="91">
        <f>IF(TypeOfSeasonality="Quarterly",1,IF(TypeOfSeasonality="Monthly","Jan","Mon"))</f>
        <v>1</v>
      </c>
      <c r="K9" s="393">
        <v>0.878</v>
      </c>
      <c r="M9" s="376" t="s">
        <v>112</v>
      </c>
      <c r="N9" s="377" t="s">
        <v>113</v>
      </c>
    </row>
    <row r="10" spans="2:14" ht="12.75">
      <c r="B10" s="91">
        <f t="shared" si="0"/>
        <v>2</v>
      </c>
      <c r="C10" s="91">
        <f t="shared" si="1"/>
        <v>1</v>
      </c>
      <c r="D10" s="344">
        <v>253</v>
      </c>
      <c r="E10" s="390">
        <f t="shared" si="2"/>
        <v>288.15489749430526</v>
      </c>
      <c r="F10" s="390">
        <f t="shared" si="3"/>
        <v>279.6012642839776</v>
      </c>
      <c r="G10" s="392">
        <f t="shared" si="4"/>
        <v>245.48991004133237</v>
      </c>
      <c r="H10" s="390">
        <f t="shared" si="5"/>
        <v>7.510089958667635</v>
      </c>
      <c r="J10" s="91">
        <f>IF(TypeOfSeasonality="Quarterly",2,IF(TypeOfSeasonality="Monthly","Feb","Tue"))</f>
        <v>2</v>
      </c>
      <c r="K10" s="393">
        <v>0.9848</v>
      </c>
      <c r="M10" s="376" t="s">
        <v>114</v>
      </c>
      <c r="N10" s="377" t="s">
        <v>115</v>
      </c>
    </row>
    <row r="11" spans="2:14" ht="12.75">
      <c r="B11" s="91">
        <f t="shared" si="0"/>
        <v>2</v>
      </c>
      <c r="C11" s="91">
        <f t="shared" si="1"/>
        <v>2</v>
      </c>
      <c r="D11" s="344">
        <v>290</v>
      </c>
      <c r="E11" s="390">
        <f t="shared" si="2"/>
        <v>294.47603574329816</v>
      </c>
      <c r="F11" s="390">
        <f t="shared" si="3"/>
        <v>288.15489749430526</v>
      </c>
      <c r="G11" s="392">
        <f t="shared" si="4"/>
        <v>283.77494305239185</v>
      </c>
      <c r="H11" s="390">
        <f t="shared" si="5"/>
        <v>6.225056947608152</v>
      </c>
      <c r="J11" s="91">
        <f>IF(TypeOfSeasonality="Quarterly",3,IF(TypeOfSeasonality="Monthly","Mar","Wed"))</f>
        <v>3</v>
      </c>
      <c r="K11" s="393">
        <v>0.9033</v>
      </c>
      <c r="M11" s="376" t="s">
        <v>43</v>
      </c>
      <c r="N11" s="377" t="s">
        <v>116</v>
      </c>
    </row>
    <row r="12" spans="2:14" ht="13.5" thickBot="1">
      <c r="B12" s="91">
        <f t="shared" si="0"/>
        <v>2</v>
      </c>
      <c r="C12" s="91">
        <f t="shared" si="1"/>
        <v>3</v>
      </c>
      <c r="D12" s="344">
        <v>262</v>
      </c>
      <c r="E12" s="390">
        <f t="shared" si="2"/>
        <v>290.0476032325916</v>
      </c>
      <c r="F12" s="390">
        <f t="shared" si="3"/>
        <v>294.47603574329816</v>
      </c>
      <c r="G12" s="392">
        <f t="shared" si="4"/>
        <v>266.0002030869212</v>
      </c>
      <c r="H12" s="390">
        <f t="shared" si="5"/>
        <v>4.0002030869212035</v>
      </c>
      <c r="J12" s="91">
        <f>IF(TypeOfSeasonality="Quarterly",4,IF(TypeOfSeasonality="Monthly","Apr","Thur"))</f>
        <v>4</v>
      </c>
      <c r="K12" s="393">
        <v>1.2339</v>
      </c>
      <c r="M12" s="380" t="s">
        <v>99</v>
      </c>
      <c r="N12" s="381" t="s">
        <v>117</v>
      </c>
    </row>
    <row r="13" spans="2:11" ht="12.75">
      <c r="B13" s="91">
        <f t="shared" si="0"/>
        <v>2</v>
      </c>
      <c r="C13" s="91">
        <f t="shared" si="1"/>
        <v>4</v>
      </c>
      <c r="D13" s="344">
        <v>352</v>
      </c>
      <c r="E13" s="390">
        <f t="shared" si="2"/>
        <v>285.27433341437717</v>
      </c>
      <c r="F13" s="390">
        <f t="shared" si="3"/>
        <v>290.0476032325916</v>
      </c>
      <c r="G13" s="392">
        <f t="shared" si="4"/>
        <v>357.8897376286948</v>
      </c>
      <c r="H13" s="390">
        <f t="shared" si="5"/>
        <v>5.889737628694775</v>
      </c>
      <c r="J13" s="91">
        <f>IF(TypeOfSeasonality="Quarterly","",IF(TypeOfSeasonality="Monthly","May","Fri"))</f>
      </c>
      <c r="K13" s="393">
        <v>1</v>
      </c>
    </row>
    <row r="14" spans="2:11" ht="12.75">
      <c r="B14" s="91">
        <f t="shared" si="0"/>
        <v>3</v>
      </c>
      <c r="C14" s="91">
        <f t="shared" si="1"/>
        <v>1</v>
      </c>
      <c r="D14" s="344">
        <v>270</v>
      </c>
      <c r="E14" s="390">
        <f t="shared" si="2"/>
        <v>307.51708428246013</v>
      </c>
      <c r="F14" s="390">
        <f t="shared" si="3"/>
        <v>285.27433341437717</v>
      </c>
      <c r="G14" s="392">
        <f t="shared" si="4"/>
        <v>250.47086473782315</v>
      </c>
      <c r="H14" s="390">
        <f t="shared" si="5"/>
        <v>19.52913526217685</v>
      </c>
      <c r="J14" s="91">
        <f>IF(TypeOfSeasonality="Monthly","June","")</f>
      </c>
      <c r="K14" s="393">
        <v>1</v>
      </c>
    </row>
    <row r="15" spans="2:11" ht="12.75">
      <c r="B15" s="91">
        <f t="shared" si="0"/>
        <v>3</v>
      </c>
      <c r="C15" s="91">
        <f t="shared" si="1"/>
        <v>2</v>
      </c>
      <c r="D15" s="344">
        <v>286</v>
      </c>
      <c r="E15" s="390">
        <f t="shared" si="2"/>
        <v>290.4142973192526</v>
      </c>
      <c r="F15" s="390">
        <f t="shared" si="3"/>
        <v>307.51708428246013</v>
      </c>
      <c r="G15" s="392">
        <f t="shared" si="4"/>
        <v>302.8428246013667</v>
      </c>
      <c r="H15" s="390">
        <f t="shared" si="5"/>
        <v>16.842824601366715</v>
      </c>
      <c r="J15" s="91">
        <f>IF(TypeOfSeasonality="Monthly","July","")</f>
      </c>
      <c r="K15" s="393">
        <v>1</v>
      </c>
    </row>
    <row r="16" spans="2:11" ht="12.75">
      <c r="B16" s="91">
        <f t="shared" si="0"/>
        <v>3</v>
      </c>
      <c r="C16" s="91">
        <f t="shared" si="1"/>
        <v>3</v>
      </c>
      <c r="D16" s="344">
        <v>271</v>
      </c>
      <c r="E16" s="390">
        <f t="shared" si="2"/>
        <v>300.01107051920735</v>
      </c>
      <c r="F16" s="390">
        <f t="shared" si="3"/>
        <v>290.4142973192526</v>
      </c>
      <c r="G16" s="392">
        <f t="shared" si="4"/>
        <v>262.3312347684809</v>
      </c>
      <c r="H16" s="390">
        <f t="shared" si="5"/>
        <v>8.668765231519103</v>
      </c>
      <c r="J16" s="91">
        <f>IF(TypeOfSeasonality="Monthly","Aug","")</f>
      </c>
      <c r="K16" s="393">
        <v>1</v>
      </c>
    </row>
    <row r="17" spans="2:11" ht="12.75">
      <c r="B17" s="91">
        <f t="shared" si="0"/>
        <v>3</v>
      </c>
      <c r="C17" s="91">
        <f t="shared" si="1"/>
        <v>4</v>
      </c>
      <c r="D17" s="344">
        <v>378</v>
      </c>
      <c r="E17" s="390">
        <f t="shared" si="2"/>
        <v>306.3457330415755</v>
      </c>
      <c r="F17" s="390">
        <f t="shared" si="3"/>
        <v>300.01107051920735</v>
      </c>
      <c r="G17" s="392">
        <f t="shared" si="4"/>
        <v>370.18365991364993</v>
      </c>
      <c r="H17" s="390">
        <f t="shared" si="5"/>
        <v>7.816340086350067</v>
      </c>
      <c r="J17" s="91">
        <f>IF(TypeOfSeasonality="Monthly","Sep","")</f>
      </c>
      <c r="K17" s="393">
        <v>1</v>
      </c>
    </row>
    <row r="18" spans="2:11" ht="12.75">
      <c r="B18" s="91">
        <f t="shared" si="0"/>
        <v>4</v>
      </c>
      <c r="C18" s="91">
        <f t="shared" si="1"/>
        <v>1</v>
      </c>
      <c r="D18" s="385"/>
      <c r="E18" s="390" t="e">
        <f t="shared" si="2"/>
        <v>#N/A</v>
      </c>
      <c r="F18" s="390">
        <f t="shared" si="3"/>
        <v>306.3457330415755</v>
      </c>
      <c r="G18" s="392">
        <f t="shared" si="4"/>
        <v>268.9715536105033</v>
      </c>
      <c r="H18" s="390">
        <f t="shared" si="5"/>
      </c>
      <c r="J18" s="91">
        <f>IF(TypeOfSeasonality="Monthly","Oct","")</f>
      </c>
      <c r="K18" s="393">
        <v>1</v>
      </c>
    </row>
    <row r="19" spans="2:11" ht="12.75">
      <c r="B19" s="91">
        <f t="shared" si="0"/>
        <v>4</v>
      </c>
      <c r="C19" s="91">
        <f t="shared" si="1"/>
        <v>2</v>
      </c>
      <c r="D19" s="385"/>
      <c r="E19" s="390" t="e">
        <f t="shared" si="2"/>
        <v>#N/A</v>
      </c>
      <c r="F19" s="390" t="e">
        <f t="shared" si="3"/>
        <v>#N/A</v>
      </c>
      <c r="G19" s="392">
        <f t="shared" si="4"/>
      </c>
      <c r="H19" s="390">
        <f t="shared" si="5"/>
      </c>
      <c r="J19" s="91">
        <f>IF(TypeOfSeasonality="Monthly","Nov","")</f>
      </c>
      <c r="K19" s="393">
        <v>1</v>
      </c>
    </row>
    <row r="20" spans="2:11" ht="12.75">
      <c r="B20" s="91">
        <f t="shared" si="0"/>
        <v>4</v>
      </c>
      <c r="C20" s="91">
        <f t="shared" si="1"/>
        <v>3</v>
      </c>
      <c r="D20" s="385"/>
      <c r="E20" s="390" t="e">
        <f t="shared" si="2"/>
        <v>#N/A</v>
      </c>
      <c r="F20" s="390" t="e">
        <f t="shared" si="3"/>
        <v>#N/A</v>
      </c>
      <c r="G20" s="392">
        <f t="shared" si="4"/>
      </c>
      <c r="H20" s="390">
        <f t="shared" si="5"/>
      </c>
      <c r="J20" s="91">
        <f>IF(TypeOfSeasonality="Monthly","Dec","")</f>
      </c>
      <c r="K20" s="393">
        <v>1</v>
      </c>
    </row>
    <row r="21" spans="2:8" ht="12.75">
      <c r="B21" s="91">
        <f t="shared" si="0"/>
        <v>4</v>
      </c>
      <c r="C21" s="91">
        <f t="shared" si="1"/>
        <v>4</v>
      </c>
      <c r="D21" s="385"/>
      <c r="E21" s="390" t="e">
        <f t="shared" si="2"/>
        <v>#N/A</v>
      </c>
      <c r="F21" s="390" t="e">
        <f t="shared" si="3"/>
        <v>#N/A</v>
      </c>
      <c r="G21" s="392">
        <f t="shared" si="4"/>
      </c>
      <c r="H21" s="390">
        <f t="shared" si="5"/>
      </c>
    </row>
    <row r="22" spans="2:10" ht="13.5" thickBot="1">
      <c r="B22" s="91">
        <f t="shared" si="0"/>
        <v>5</v>
      </c>
      <c r="C22" s="91">
        <f t="shared" si="1"/>
        <v>1</v>
      </c>
      <c r="D22" s="385"/>
      <c r="E22" s="390" t="e">
        <f t="shared" si="2"/>
        <v>#N/A</v>
      </c>
      <c r="F22" s="390" t="e">
        <f t="shared" si="3"/>
        <v>#N/A</v>
      </c>
      <c r="G22" s="392">
        <f t="shared" si="4"/>
      </c>
      <c r="H22" s="390">
        <f t="shared" si="5"/>
      </c>
      <c r="J22" s="29" t="s">
        <v>32</v>
      </c>
    </row>
    <row r="23" spans="2:11" ht="13.5" thickBot="1">
      <c r="B23" s="91">
        <f t="shared" si="0"/>
        <v>5</v>
      </c>
      <c r="C23" s="91">
        <f t="shared" si="1"/>
        <v>2</v>
      </c>
      <c r="D23" s="385"/>
      <c r="E23" s="390" t="e">
        <f t="shared" si="2"/>
        <v>#N/A</v>
      </c>
      <c r="F23" s="390" t="e">
        <f t="shared" si="3"/>
        <v>#N/A</v>
      </c>
      <c r="G23" s="392">
        <f t="shared" si="4"/>
      </c>
      <c r="H23" s="390">
        <f t="shared" si="5"/>
      </c>
      <c r="J23" s="394" t="s">
        <v>34</v>
      </c>
      <c r="K23" s="395">
        <f>AVERAGE(ForecastingError)</f>
        <v>8.515393082905991</v>
      </c>
    </row>
    <row r="24" spans="2:8" ht="12.75">
      <c r="B24" s="91">
        <f t="shared" si="0"/>
        <v>5</v>
      </c>
      <c r="C24" s="91">
        <f t="shared" si="1"/>
        <v>3</v>
      </c>
      <c r="D24" s="385"/>
      <c r="E24" s="390" t="e">
        <f t="shared" si="2"/>
        <v>#N/A</v>
      </c>
      <c r="F24" s="390" t="e">
        <f t="shared" si="3"/>
        <v>#N/A</v>
      </c>
      <c r="G24" s="392">
        <f t="shared" si="4"/>
      </c>
      <c r="H24" s="390">
        <f t="shared" si="5"/>
      </c>
    </row>
    <row r="25" spans="2:10" ht="13.5" thickBot="1">
      <c r="B25" s="91">
        <f t="shared" si="0"/>
        <v>5</v>
      </c>
      <c r="C25" s="91">
        <f t="shared" si="1"/>
        <v>4</v>
      </c>
      <c r="D25" s="385"/>
      <c r="E25" s="390" t="e">
        <f t="shared" si="2"/>
        <v>#N/A</v>
      </c>
      <c r="F25" s="390" t="e">
        <f t="shared" si="3"/>
        <v>#N/A</v>
      </c>
      <c r="G25" s="392">
        <f t="shared" si="4"/>
      </c>
      <c r="H25" s="390">
        <f t="shared" si="5"/>
      </c>
      <c r="J25" s="29" t="s">
        <v>39</v>
      </c>
    </row>
    <row r="26" spans="2:11" ht="13.5" thickBot="1">
      <c r="B26" s="91">
        <f t="shared" si="0"/>
        <v>6</v>
      </c>
      <c r="C26" s="91">
        <f t="shared" si="1"/>
        <v>1</v>
      </c>
      <c r="D26" s="385"/>
      <c r="E26" s="390" t="e">
        <f t="shared" si="2"/>
        <v>#N/A</v>
      </c>
      <c r="F26" s="390" t="e">
        <f t="shared" si="3"/>
        <v>#N/A</v>
      </c>
      <c r="G26" s="392">
        <f t="shared" si="4"/>
      </c>
      <c r="H26" s="390">
        <f t="shared" si="5"/>
      </c>
      <c r="J26" s="396" t="s">
        <v>42</v>
      </c>
      <c r="K26" s="397">
        <f>SUMSQ(ForecastingError)/COUNT(ForecastingError)</f>
        <v>98.57439992706381</v>
      </c>
    </row>
    <row r="27" spans="2:8" ht="12.75">
      <c r="B27" s="91">
        <f t="shared" si="0"/>
        <v>6</v>
      </c>
      <c r="C27" s="91">
        <f t="shared" si="1"/>
        <v>2</v>
      </c>
      <c r="D27" s="385"/>
      <c r="E27" s="390" t="e">
        <f t="shared" si="2"/>
        <v>#N/A</v>
      </c>
      <c r="F27" s="390" t="e">
        <f t="shared" si="3"/>
        <v>#N/A</v>
      </c>
      <c r="G27" s="392">
        <f t="shared" si="4"/>
      </c>
      <c r="H27" s="390">
        <f t="shared" si="5"/>
      </c>
    </row>
    <row r="28" spans="2:8" ht="12.75">
      <c r="B28" s="91">
        <f t="shared" si="0"/>
        <v>6</v>
      </c>
      <c r="C28" s="91">
        <f t="shared" si="1"/>
        <v>3</v>
      </c>
      <c r="D28" s="385"/>
      <c r="E28" s="390" t="e">
        <f t="shared" si="2"/>
        <v>#N/A</v>
      </c>
      <c r="F28" s="390" t="e">
        <f t="shared" si="3"/>
        <v>#N/A</v>
      </c>
      <c r="G28" s="392">
        <f t="shared" si="4"/>
      </c>
      <c r="H28" s="390">
        <f t="shared" si="5"/>
      </c>
    </row>
    <row r="29" spans="2:8" ht="12.75">
      <c r="B29" s="91">
        <f t="shared" si="0"/>
        <v>6</v>
      </c>
      <c r="C29" s="91">
        <f t="shared" si="1"/>
        <v>4</v>
      </c>
      <c r="D29" s="385"/>
      <c r="E29" s="390" t="e">
        <f t="shared" si="2"/>
        <v>#N/A</v>
      </c>
      <c r="F29" s="390" t="e">
        <f t="shared" si="3"/>
        <v>#N/A</v>
      </c>
      <c r="G29" s="392">
        <f t="shared" si="4"/>
      </c>
      <c r="H29" s="390">
        <f t="shared" si="5"/>
      </c>
    </row>
    <row r="30" spans="2:8" ht="12.75">
      <c r="B30" s="91">
        <f t="shared" si="0"/>
        <v>7</v>
      </c>
      <c r="C30" s="91">
        <f t="shared" si="1"/>
        <v>1</v>
      </c>
      <c r="D30" s="385"/>
      <c r="E30" s="390" t="e">
        <f t="shared" si="2"/>
        <v>#N/A</v>
      </c>
      <c r="F30" s="390" t="e">
        <f t="shared" si="3"/>
        <v>#N/A</v>
      </c>
      <c r="G30" s="392">
        <f t="shared" si="4"/>
      </c>
      <c r="H30" s="390">
        <f t="shared" si="5"/>
      </c>
    </row>
    <row r="31" spans="1:10" ht="12.75">
      <c r="A31" s="91"/>
      <c r="B31" s="91">
        <f t="shared" si="0"/>
        <v>7</v>
      </c>
      <c r="C31" s="91">
        <f t="shared" si="1"/>
        <v>2</v>
      </c>
      <c r="D31" s="385"/>
      <c r="E31" s="390" t="e">
        <f t="shared" si="2"/>
        <v>#N/A</v>
      </c>
      <c r="F31" s="390" t="e">
        <f t="shared" si="3"/>
        <v>#N/A</v>
      </c>
      <c r="G31" s="392">
        <f t="shared" si="4"/>
      </c>
      <c r="H31" s="390">
        <f t="shared" si="5"/>
      </c>
      <c r="I31" s="91"/>
      <c r="J31" s="91"/>
    </row>
    <row r="32" spans="1:10" ht="12.75">
      <c r="A32" s="91"/>
      <c r="B32" s="91">
        <f t="shared" si="0"/>
        <v>7</v>
      </c>
      <c r="C32" s="91">
        <f t="shared" si="1"/>
        <v>3</v>
      </c>
      <c r="D32" s="385"/>
      <c r="E32" s="390" t="e">
        <f t="shared" si="2"/>
        <v>#N/A</v>
      </c>
      <c r="F32" s="390" t="e">
        <f t="shared" si="3"/>
        <v>#N/A</v>
      </c>
      <c r="G32" s="392">
        <f t="shared" si="4"/>
      </c>
      <c r="H32" s="390">
        <f t="shared" si="5"/>
      </c>
      <c r="I32" s="91"/>
      <c r="J32" s="91"/>
    </row>
    <row r="33" spans="1:10" ht="12.75">
      <c r="A33" s="91"/>
      <c r="B33" s="91">
        <f t="shared" si="0"/>
        <v>7</v>
      </c>
      <c r="C33" s="91">
        <f t="shared" si="1"/>
        <v>4</v>
      </c>
      <c r="D33" s="385"/>
      <c r="E33" s="390" t="e">
        <f t="shared" si="2"/>
        <v>#N/A</v>
      </c>
      <c r="F33" s="390" t="e">
        <f t="shared" si="3"/>
        <v>#N/A</v>
      </c>
      <c r="G33" s="392">
        <f t="shared" si="4"/>
      </c>
      <c r="H33" s="390">
        <f t="shared" si="5"/>
      </c>
      <c r="I33" s="91"/>
      <c r="J33" s="91"/>
    </row>
    <row r="34" spans="1:10" ht="12.75">
      <c r="A34" s="91"/>
      <c r="B34" s="91">
        <f t="shared" si="0"/>
        <v>8</v>
      </c>
      <c r="C34" s="91">
        <f t="shared" si="1"/>
        <v>1</v>
      </c>
      <c r="D34" s="385"/>
      <c r="E34" s="390" t="e">
        <f t="shared" si="2"/>
        <v>#N/A</v>
      </c>
      <c r="F34" s="390" t="e">
        <f t="shared" si="3"/>
        <v>#N/A</v>
      </c>
      <c r="G34" s="392">
        <f t="shared" si="4"/>
      </c>
      <c r="H34" s="390">
        <f t="shared" si="5"/>
      </c>
      <c r="I34" s="91"/>
      <c r="J34" s="91"/>
    </row>
    <row r="35" spans="1:10" ht="12.75">
      <c r="A35" s="91"/>
      <c r="B35" s="91">
        <f t="shared" si="0"/>
        <v>8</v>
      </c>
      <c r="C35" s="91">
        <f t="shared" si="1"/>
        <v>2</v>
      </c>
      <c r="D35" s="385"/>
      <c r="E35" s="390" t="e">
        <f t="shared" si="2"/>
        <v>#N/A</v>
      </c>
      <c r="F35" s="390" t="e">
        <f t="shared" si="3"/>
        <v>#N/A</v>
      </c>
      <c r="G35" s="392">
        <f t="shared" si="4"/>
      </c>
      <c r="H35" s="390">
        <f t="shared" si="5"/>
      </c>
      <c r="I35" s="91"/>
      <c r="J35" s="91"/>
    </row>
    <row r="36" spans="1:10" ht="12.75">
      <c r="A36" s="91"/>
      <c r="B36" s="91">
        <f t="shared" si="0"/>
        <v>8</v>
      </c>
      <c r="C36" s="91">
        <f t="shared" si="1"/>
        <v>3</v>
      </c>
      <c r="D36" s="385"/>
      <c r="E36" s="390" t="e">
        <f t="shared" si="2"/>
        <v>#N/A</v>
      </c>
      <c r="F36" s="390" t="e">
        <f t="shared" si="3"/>
        <v>#N/A</v>
      </c>
      <c r="G36" s="392">
        <f t="shared" si="4"/>
      </c>
      <c r="H36" s="390">
        <f t="shared" si="5"/>
      </c>
      <c r="I36" s="91"/>
      <c r="J36" s="91"/>
    </row>
    <row r="37" spans="2:8" ht="12.75">
      <c r="B37" s="91">
        <f t="shared" si="0"/>
        <v>8</v>
      </c>
      <c r="C37" s="91">
        <f t="shared" si="1"/>
        <v>4</v>
      </c>
      <c r="D37" s="385"/>
      <c r="E37" s="390" t="e">
        <f t="shared" si="2"/>
        <v>#N/A</v>
      </c>
      <c r="F37" s="390" t="e">
        <f t="shared" si="3"/>
        <v>#N/A</v>
      </c>
      <c r="G37" s="392">
        <f t="shared" si="4"/>
      </c>
      <c r="H37" s="390">
        <f t="shared" si="5"/>
      </c>
    </row>
    <row r="38" spans="2:8" ht="12.75">
      <c r="B38" s="91">
        <f aca="true" t="shared" si="6" ref="B38:B69">IF(TypeOfSeasonality="Quarterly",TRUNC((ROW(B38)-2)/4),IF(TypeOfSeasonality="Monthly",TRUNC((ROW(B38)+6)/12),TRUNC((ROW(B38)-1)/5)))</f>
        <v>9</v>
      </c>
      <c r="C38" s="91">
        <f aca="true" t="shared" si="7" ref="C38:C69">IF(TypeOfSeasonality="Quarterly",INDEX($J$9:$J$12,MOD(ROW(B38)+2,4)+1,1),IF(TypeOfSeasonality="Monthly",INDEX($J$9:$J$20,MOD(ROW(B38)-6,12)+1,1),INDEX($J$9:$J$13,MOD(ROW(B38)-1,5)+1,1)))</f>
        <v>1</v>
      </c>
      <c r="D38" s="385"/>
      <c r="E38" s="390" t="e">
        <f aca="true" t="shared" si="8" ref="E38:E69">IF(ISNUMBER(TrueValue),TrueValue/VLOOKUP(C38,$J$9:$K$20,2,FALSE),NA())</f>
        <v>#N/A</v>
      </c>
      <c r="F38" s="390" t="e">
        <f t="shared" si="3"/>
        <v>#N/A</v>
      </c>
      <c r="G38" s="392">
        <f t="shared" si="4"/>
      </c>
      <c r="H38" s="390">
        <f t="shared" si="5"/>
      </c>
    </row>
    <row r="39" spans="2:8" ht="12.75">
      <c r="B39" s="91">
        <f t="shared" si="6"/>
        <v>9</v>
      </c>
      <c r="C39" s="91">
        <f t="shared" si="7"/>
        <v>2</v>
      </c>
      <c r="D39" s="385"/>
      <c r="E39" s="390" t="e">
        <f t="shared" si="8"/>
        <v>#N/A</v>
      </c>
      <c r="F39" s="390" t="e">
        <f aca="true" t="shared" si="9" ref="F39:F75">IF(ISNUMBER(D38),E38,NA())</f>
        <v>#N/A</v>
      </c>
      <c r="G39" s="392">
        <f aca="true" t="shared" si="10" ref="G39:G75">IF(ISNUMBER(SeasonallyAdjustedForecast),SeasonallyAdjustedForecast*VLOOKUP(C39,$J$9:$K$20,2,FALSE),"")</f>
      </c>
      <c r="H39" s="390">
        <f aca="true" t="shared" si="11" ref="H39:H75">IF(AND(ISNUMBER(TrueValue),ISNUMBER(ActualForecast)),ABS(TrueValue-ActualForecast),"")</f>
      </c>
    </row>
    <row r="40" spans="2:8" ht="12.75">
      <c r="B40" s="91">
        <f t="shared" si="6"/>
        <v>9</v>
      </c>
      <c r="C40" s="91">
        <f t="shared" si="7"/>
        <v>3</v>
      </c>
      <c r="D40" s="385"/>
      <c r="E40" s="390" t="e">
        <f t="shared" si="8"/>
        <v>#N/A</v>
      </c>
      <c r="F40" s="390" t="e">
        <f t="shared" si="9"/>
        <v>#N/A</v>
      </c>
      <c r="G40" s="392">
        <f t="shared" si="10"/>
      </c>
      <c r="H40" s="390">
        <f t="shared" si="11"/>
      </c>
    </row>
    <row r="41" spans="2:8" ht="12.75">
      <c r="B41" s="91">
        <f t="shared" si="6"/>
        <v>9</v>
      </c>
      <c r="C41" s="91">
        <f t="shared" si="7"/>
        <v>4</v>
      </c>
      <c r="D41" s="385"/>
      <c r="E41" s="390" t="e">
        <f t="shared" si="8"/>
        <v>#N/A</v>
      </c>
      <c r="F41" s="390" t="e">
        <f t="shared" si="9"/>
        <v>#N/A</v>
      </c>
      <c r="G41" s="392">
        <f t="shared" si="10"/>
      </c>
      <c r="H41" s="390">
        <f t="shared" si="11"/>
      </c>
    </row>
    <row r="42" spans="2:8" ht="12.75">
      <c r="B42" s="91">
        <f t="shared" si="6"/>
        <v>10</v>
      </c>
      <c r="C42" s="91">
        <f t="shared" si="7"/>
        <v>1</v>
      </c>
      <c r="D42" s="385"/>
      <c r="E42" s="390" t="e">
        <f t="shared" si="8"/>
        <v>#N/A</v>
      </c>
      <c r="F42" s="390" t="e">
        <f t="shared" si="9"/>
        <v>#N/A</v>
      </c>
      <c r="G42" s="392">
        <f t="shared" si="10"/>
      </c>
      <c r="H42" s="390">
        <f t="shared" si="11"/>
      </c>
    </row>
    <row r="43" spans="2:8" ht="12.75">
      <c r="B43" s="91">
        <f t="shared" si="6"/>
        <v>10</v>
      </c>
      <c r="C43" s="91">
        <f t="shared" si="7"/>
        <v>2</v>
      </c>
      <c r="D43" s="385"/>
      <c r="E43" s="390" t="e">
        <f t="shared" si="8"/>
        <v>#N/A</v>
      </c>
      <c r="F43" s="390" t="e">
        <f t="shared" si="9"/>
        <v>#N/A</v>
      </c>
      <c r="G43" s="392">
        <f t="shared" si="10"/>
      </c>
      <c r="H43" s="390">
        <f t="shared" si="11"/>
      </c>
    </row>
    <row r="44" spans="2:8" ht="12.75">
      <c r="B44" s="91">
        <f t="shared" si="6"/>
        <v>10</v>
      </c>
      <c r="C44" s="91">
        <f t="shared" si="7"/>
        <v>3</v>
      </c>
      <c r="D44" s="385"/>
      <c r="E44" s="390" t="e">
        <f t="shared" si="8"/>
        <v>#N/A</v>
      </c>
      <c r="F44" s="390" t="e">
        <f t="shared" si="9"/>
        <v>#N/A</v>
      </c>
      <c r="G44" s="392">
        <f t="shared" si="10"/>
      </c>
      <c r="H44" s="390">
        <f t="shared" si="11"/>
      </c>
    </row>
    <row r="45" spans="2:8" ht="12.75">
      <c r="B45" s="91">
        <f t="shared" si="6"/>
        <v>10</v>
      </c>
      <c r="C45" s="91">
        <f t="shared" si="7"/>
        <v>4</v>
      </c>
      <c r="D45" s="385"/>
      <c r="E45" s="390" t="e">
        <f t="shared" si="8"/>
        <v>#N/A</v>
      </c>
      <c r="F45" s="390" t="e">
        <f t="shared" si="9"/>
        <v>#N/A</v>
      </c>
      <c r="G45" s="392">
        <f t="shared" si="10"/>
      </c>
      <c r="H45" s="390">
        <f t="shared" si="11"/>
      </c>
    </row>
    <row r="46" spans="2:8" ht="12.75">
      <c r="B46" s="91">
        <f t="shared" si="6"/>
        <v>11</v>
      </c>
      <c r="C46" s="91">
        <f t="shared" si="7"/>
        <v>1</v>
      </c>
      <c r="D46" s="385"/>
      <c r="E46" s="390" t="e">
        <f t="shared" si="8"/>
        <v>#N/A</v>
      </c>
      <c r="F46" s="390" t="e">
        <f t="shared" si="9"/>
        <v>#N/A</v>
      </c>
      <c r="G46" s="392">
        <f t="shared" si="10"/>
      </c>
      <c r="H46" s="390">
        <f t="shared" si="11"/>
      </c>
    </row>
    <row r="47" spans="2:8" ht="12.75">
      <c r="B47" s="91">
        <f t="shared" si="6"/>
        <v>11</v>
      </c>
      <c r="C47" s="91">
        <f t="shared" si="7"/>
        <v>2</v>
      </c>
      <c r="D47" s="385"/>
      <c r="E47" s="390" t="e">
        <f t="shared" si="8"/>
        <v>#N/A</v>
      </c>
      <c r="F47" s="390" t="e">
        <f t="shared" si="9"/>
        <v>#N/A</v>
      </c>
      <c r="G47" s="392">
        <f t="shared" si="10"/>
      </c>
      <c r="H47" s="390">
        <f t="shared" si="11"/>
      </c>
    </row>
    <row r="48" spans="2:8" ht="12.75">
      <c r="B48" s="91">
        <f t="shared" si="6"/>
        <v>11</v>
      </c>
      <c r="C48" s="91">
        <f t="shared" si="7"/>
        <v>3</v>
      </c>
      <c r="D48" s="385"/>
      <c r="E48" s="390" t="e">
        <f t="shared" si="8"/>
        <v>#N/A</v>
      </c>
      <c r="F48" s="390" t="e">
        <f t="shared" si="9"/>
        <v>#N/A</v>
      </c>
      <c r="G48" s="392">
        <f t="shared" si="10"/>
      </c>
      <c r="H48" s="390">
        <f t="shared" si="11"/>
      </c>
    </row>
    <row r="49" spans="2:8" ht="12.75">
      <c r="B49" s="91">
        <f t="shared" si="6"/>
        <v>11</v>
      </c>
      <c r="C49" s="91">
        <f t="shared" si="7"/>
        <v>4</v>
      </c>
      <c r="D49" s="385"/>
      <c r="E49" s="390" t="e">
        <f t="shared" si="8"/>
        <v>#N/A</v>
      </c>
      <c r="F49" s="390" t="e">
        <f t="shared" si="9"/>
        <v>#N/A</v>
      </c>
      <c r="G49" s="392">
        <f t="shared" si="10"/>
      </c>
      <c r="H49" s="390">
        <f t="shared" si="11"/>
      </c>
    </row>
    <row r="50" spans="2:8" ht="12.75">
      <c r="B50" s="91">
        <f t="shared" si="6"/>
        <v>12</v>
      </c>
      <c r="C50" s="91">
        <f t="shared" si="7"/>
        <v>1</v>
      </c>
      <c r="D50" s="385"/>
      <c r="E50" s="390" t="e">
        <f t="shared" si="8"/>
        <v>#N/A</v>
      </c>
      <c r="F50" s="390" t="e">
        <f t="shared" si="9"/>
        <v>#N/A</v>
      </c>
      <c r="G50" s="392">
        <f t="shared" si="10"/>
      </c>
      <c r="H50" s="390">
        <f t="shared" si="11"/>
      </c>
    </row>
    <row r="51" spans="2:8" ht="12.75">
      <c r="B51" s="91">
        <f t="shared" si="6"/>
        <v>12</v>
      </c>
      <c r="C51" s="91">
        <f t="shared" si="7"/>
        <v>2</v>
      </c>
      <c r="D51" s="385"/>
      <c r="E51" s="390" t="e">
        <f t="shared" si="8"/>
        <v>#N/A</v>
      </c>
      <c r="F51" s="390" t="e">
        <f t="shared" si="9"/>
        <v>#N/A</v>
      </c>
      <c r="G51" s="392">
        <f t="shared" si="10"/>
      </c>
      <c r="H51" s="390">
        <f t="shared" si="11"/>
      </c>
    </row>
    <row r="52" spans="2:8" ht="12.75">
      <c r="B52" s="91">
        <f t="shared" si="6"/>
        <v>12</v>
      </c>
      <c r="C52" s="91">
        <f t="shared" si="7"/>
        <v>3</v>
      </c>
      <c r="D52" s="385"/>
      <c r="E52" s="390" t="e">
        <f t="shared" si="8"/>
        <v>#N/A</v>
      </c>
      <c r="F52" s="390" t="e">
        <f t="shared" si="9"/>
        <v>#N/A</v>
      </c>
      <c r="G52" s="392">
        <f t="shared" si="10"/>
      </c>
      <c r="H52" s="390">
        <f t="shared" si="11"/>
      </c>
    </row>
    <row r="53" spans="2:8" ht="12.75">
      <c r="B53" s="91">
        <f t="shared" si="6"/>
        <v>12</v>
      </c>
      <c r="C53" s="91">
        <f t="shared" si="7"/>
        <v>4</v>
      </c>
      <c r="D53" s="385"/>
      <c r="E53" s="390" t="e">
        <f t="shared" si="8"/>
        <v>#N/A</v>
      </c>
      <c r="F53" s="390" t="e">
        <f t="shared" si="9"/>
        <v>#N/A</v>
      </c>
      <c r="G53" s="392">
        <f t="shared" si="10"/>
      </c>
      <c r="H53" s="390">
        <f t="shared" si="11"/>
      </c>
    </row>
    <row r="54" spans="2:8" ht="12.75">
      <c r="B54" s="91">
        <f t="shared" si="6"/>
        <v>13</v>
      </c>
      <c r="C54" s="91">
        <f t="shared" si="7"/>
        <v>1</v>
      </c>
      <c r="D54" s="385"/>
      <c r="E54" s="390" t="e">
        <f t="shared" si="8"/>
        <v>#N/A</v>
      </c>
      <c r="F54" s="390" t="e">
        <f t="shared" si="9"/>
        <v>#N/A</v>
      </c>
      <c r="G54" s="392">
        <f t="shared" si="10"/>
      </c>
      <c r="H54" s="390">
        <f t="shared" si="11"/>
      </c>
    </row>
    <row r="55" spans="2:8" ht="12.75">
      <c r="B55" s="91">
        <f t="shared" si="6"/>
        <v>13</v>
      </c>
      <c r="C55" s="91">
        <f t="shared" si="7"/>
        <v>2</v>
      </c>
      <c r="D55" s="385"/>
      <c r="E55" s="390" t="e">
        <f t="shared" si="8"/>
        <v>#N/A</v>
      </c>
      <c r="F55" s="390" t="e">
        <f t="shared" si="9"/>
        <v>#N/A</v>
      </c>
      <c r="G55" s="392">
        <f t="shared" si="10"/>
      </c>
      <c r="H55" s="390">
        <f t="shared" si="11"/>
      </c>
    </row>
    <row r="56" spans="2:8" ht="12.75">
      <c r="B56" s="91">
        <f t="shared" si="6"/>
        <v>13</v>
      </c>
      <c r="C56" s="91">
        <f t="shared" si="7"/>
        <v>3</v>
      </c>
      <c r="D56" s="385"/>
      <c r="E56" s="390" t="e">
        <f t="shared" si="8"/>
        <v>#N/A</v>
      </c>
      <c r="F56" s="390" t="e">
        <f t="shared" si="9"/>
        <v>#N/A</v>
      </c>
      <c r="G56" s="392">
        <f t="shared" si="10"/>
      </c>
      <c r="H56" s="390">
        <f t="shared" si="11"/>
      </c>
    </row>
    <row r="57" spans="2:8" ht="12.75">
      <c r="B57" s="91">
        <f t="shared" si="6"/>
        <v>13</v>
      </c>
      <c r="C57" s="91">
        <f t="shared" si="7"/>
        <v>4</v>
      </c>
      <c r="D57" s="385"/>
      <c r="E57" s="390" t="e">
        <f t="shared" si="8"/>
        <v>#N/A</v>
      </c>
      <c r="F57" s="390" t="e">
        <f t="shared" si="9"/>
        <v>#N/A</v>
      </c>
      <c r="G57" s="392">
        <f t="shared" si="10"/>
      </c>
      <c r="H57" s="390">
        <f t="shared" si="11"/>
      </c>
    </row>
    <row r="58" spans="2:8" ht="12.75">
      <c r="B58" s="91">
        <f t="shared" si="6"/>
        <v>14</v>
      </c>
      <c r="C58" s="91">
        <f t="shared" si="7"/>
        <v>1</v>
      </c>
      <c r="D58" s="385"/>
      <c r="E58" s="390" t="e">
        <f t="shared" si="8"/>
        <v>#N/A</v>
      </c>
      <c r="F58" s="390" t="e">
        <f t="shared" si="9"/>
        <v>#N/A</v>
      </c>
      <c r="G58" s="392">
        <f t="shared" si="10"/>
      </c>
      <c r="H58" s="390">
        <f t="shared" si="11"/>
      </c>
    </row>
    <row r="59" spans="2:8" ht="12.75">
      <c r="B59" s="91">
        <f t="shared" si="6"/>
        <v>14</v>
      </c>
      <c r="C59" s="91">
        <f t="shared" si="7"/>
        <v>2</v>
      </c>
      <c r="D59" s="385"/>
      <c r="E59" s="390" t="e">
        <f t="shared" si="8"/>
        <v>#N/A</v>
      </c>
      <c r="F59" s="390" t="e">
        <f t="shared" si="9"/>
        <v>#N/A</v>
      </c>
      <c r="G59" s="392">
        <f t="shared" si="10"/>
      </c>
      <c r="H59" s="390">
        <f t="shared" si="11"/>
      </c>
    </row>
    <row r="60" spans="2:8" ht="12.75">
      <c r="B60" s="91">
        <f t="shared" si="6"/>
        <v>14</v>
      </c>
      <c r="C60" s="91">
        <f t="shared" si="7"/>
        <v>3</v>
      </c>
      <c r="D60" s="385"/>
      <c r="E60" s="390" t="e">
        <f t="shared" si="8"/>
        <v>#N/A</v>
      </c>
      <c r="F60" s="390" t="e">
        <f t="shared" si="9"/>
        <v>#N/A</v>
      </c>
      <c r="G60" s="392">
        <f t="shared" si="10"/>
      </c>
      <c r="H60" s="390">
        <f t="shared" si="11"/>
      </c>
    </row>
    <row r="61" spans="2:8" ht="12.75">
      <c r="B61" s="91">
        <f t="shared" si="6"/>
        <v>14</v>
      </c>
      <c r="C61" s="91">
        <f t="shared" si="7"/>
        <v>4</v>
      </c>
      <c r="D61" s="385"/>
      <c r="E61" s="390" t="e">
        <f t="shared" si="8"/>
        <v>#N/A</v>
      </c>
      <c r="F61" s="390" t="e">
        <f t="shared" si="9"/>
        <v>#N/A</v>
      </c>
      <c r="G61" s="392">
        <f t="shared" si="10"/>
      </c>
      <c r="H61" s="390">
        <f t="shared" si="11"/>
      </c>
    </row>
    <row r="62" spans="2:8" ht="12.75">
      <c r="B62" s="91">
        <f t="shared" si="6"/>
        <v>15</v>
      </c>
      <c r="C62" s="91">
        <f t="shared" si="7"/>
        <v>1</v>
      </c>
      <c r="D62" s="385"/>
      <c r="E62" s="390" t="e">
        <f t="shared" si="8"/>
        <v>#N/A</v>
      </c>
      <c r="F62" s="390" t="e">
        <f t="shared" si="9"/>
        <v>#N/A</v>
      </c>
      <c r="G62" s="392">
        <f t="shared" si="10"/>
      </c>
      <c r="H62" s="390">
        <f t="shared" si="11"/>
      </c>
    </row>
    <row r="63" spans="2:8" ht="12.75">
      <c r="B63" s="91">
        <f t="shared" si="6"/>
        <v>15</v>
      </c>
      <c r="C63" s="91">
        <f t="shared" si="7"/>
        <v>2</v>
      </c>
      <c r="D63" s="385"/>
      <c r="E63" s="390" t="e">
        <f t="shared" si="8"/>
        <v>#N/A</v>
      </c>
      <c r="F63" s="390" t="e">
        <f t="shared" si="9"/>
        <v>#N/A</v>
      </c>
      <c r="G63" s="392">
        <f t="shared" si="10"/>
      </c>
      <c r="H63" s="390">
        <f t="shared" si="11"/>
      </c>
    </row>
    <row r="64" spans="2:8" ht="12.75">
      <c r="B64" s="91">
        <f t="shared" si="6"/>
        <v>15</v>
      </c>
      <c r="C64" s="91">
        <f t="shared" si="7"/>
        <v>3</v>
      </c>
      <c r="D64" s="385"/>
      <c r="E64" s="390" t="e">
        <f t="shared" si="8"/>
        <v>#N/A</v>
      </c>
      <c r="F64" s="390" t="e">
        <f t="shared" si="9"/>
        <v>#N/A</v>
      </c>
      <c r="G64" s="392">
        <f t="shared" si="10"/>
      </c>
      <c r="H64" s="390">
        <f t="shared" si="11"/>
      </c>
    </row>
    <row r="65" spans="2:8" ht="12.75">
      <c r="B65" s="91">
        <f t="shared" si="6"/>
        <v>15</v>
      </c>
      <c r="C65" s="91">
        <f t="shared" si="7"/>
        <v>4</v>
      </c>
      <c r="D65" s="385"/>
      <c r="E65" s="390" t="e">
        <f t="shared" si="8"/>
        <v>#N/A</v>
      </c>
      <c r="F65" s="390" t="e">
        <f t="shared" si="9"/>
        <v>#N/A</v>
      </c>
      <c r="G65" s="392">
        <f t="shared" si="10"/>
      </c>
      <c r="H65" s="390">
        <f t="shared" si="11"/>
      </c>
    </row>
    <row r="66" spans="2:8" ht="12.75">
      <c r="B66" s="91">
        <f t="shared" si="6"/>
        <v>16</v>
      </c>
      <c r="C66" s="91">
        <f t="shared" si="7"/>
        <v>1</v>
      </c>
      <c r="D66" s="385"/>
      <c r="E66" s="390" t="e">
        <f t="shared" si="8"/>
        <v>#N/A</v>
      </c>
      <c r="F66" s="390" t="e">
        <f t="shared" si="9"/>
        <v>#N/A</v>
      </c>
      <c r="G66" s="392">
        <f t="shared" si="10"/>
      </c>
      <c r="H66" s="390">
        <f t="shared" si="11"/>
      </c>
    </row>
    <row r="67" spans="2:8" ht="12.75">
      <c r="B67" s="91">
        <f t="shared" si="6"/>
        <v>16</v>
      </c>
      <c r="C67" s="91">
        <f t="shared" si="7"/>
        <v>2</v>
      </c>
      <c r="D67" s="385"/>
      <c r="E67" s="390" t="e">
        <f t="shared" si="8"/>
        <v>#N/A</v>
      </c>
      <c r="F67" s="390" t="e">
        <f t="shared" si="9"/>
        <v>#N/A</v>
      </c>
      <c r="G67" s="392">
        <f t="shared" si="10"/>
      </c>
      <c r="H67" s="390">
        <f t="shared" si="11"/>
      </c>
    </row>
    <row r="68" spans="2:8" ht="12.75">
      <c r="B68" s="91">
        <f t="shared" si="6"/>
        <v>16</v>
      </c>
      <c r="C68" s="91">
        <f t="shared" si="7"/>
        <v>3</v>
      </c>
      <c r="D68" s="385"/>
      <c r="E68" s="390" t="e">
        <f t="shared" si="8"/>
        <v>#N/A</v>
      </c>
      <c r="F68" s="390" t="e">
        <f t="shared" si="9"/>
        <v>#N/A</v>
      </c>
      <c r="G68" s="392">
        <f t="shared" si="10"/>
      </c>
      <c r="H68" s="390">
        <f t="shared" si="11"/>
      </c>
    </row>
    <row r="69" spans="2:8" ht="12.75">
      <c r="B69" s="91">
        <f t="shared" si="6"/>
        <v>16</v>
      </c>
      <c r="C69" s="91">
        <f t="shared" si="7"/>
        <v>4</v>
      </c>
      <c r="D69" s="385"/>
      <c r="E69" s="390" t="e">
        <f t="shared" si="8"/>
        <v>#N/A</v>
      </c>
      <c r="F69" s="390" t="e">
        <f t="shared" si="9"/>
        <v>#N/A</v>
      </c>
      <c r="G69" s="392">
        <f t="shared" si="10"/>
      </c>
      <c r="H69" s="390">
        <f t="shared" si="11"/>
      </c>
    </row>
    <row r="70" spans="2:8" ht="12.75">
      <c r="B70" s="91">
        <f aca="true" t="shared" si="12" ref="B70:B75">IF(TypeOfSeasonality="Quarterly",TRUNC((ROW(B70)-2)/4),IF(TypeOfSeasonality="Monthly",TRUNC((ROW(B70)+6)/12),TRUNC((ROW(B70)-1)/5)))</f>
        <v>17</v>
      </c>
      <c r="C70" s="91">
        <f aca="true" t="shared" si="13" ref="C70:C75">IF(TypeOfSeasonality="Quarterly",INDEX($J$9:$J$12,MOD(ROW(B70)+2,4)+1,1),IF(TypeOfSeasonality="Monthly",INDEX($J$9:$J$20,MOD(ROW(B70)-6,12)+1,1),INDEX($J$9:$J$13,MOD(ROW(B70)-1,5)+1,1)))</f>
        <v>1</v>
      </c>
      <c r="D70" s="385"/>
      <c r="E70" s="390" t="e">
        <f aca="true" t="shared" si="14" ref="E70:E75">IF(ISNUMBER(TrueValue),TrueValue/VLOOKUP(C70,$J$9:$K$20,2,FALSE),NA())</f>
        <v>#N/A</v>
      </c>
      <c r="F70" s="390" t="e">
        <f t="shared" si="9"/>
        <v>#N/A</v>
      </c>
      <c r="G70" s="392">
        <f t="shared" si="10"/>
      </c>
      <c r="H70" s="390">
        <f t="shared" si="11"/>
      </c>
    </row>
    <row r="71" spans="2:8" ht="12.75">
      <c r="B71" s="91">
        <f t="shared" si="12"/>
        <v>17</v>
      </c>
      <c r="C71" s="91">
        <f t="shared" si="13"/>
        <v>2</v>
      </c>
      <c r="D71" s="385"/>
      <c r="E71" s="390" t="e">
        <f t="shared" si="14"/>
        <v>#N/A</v>
      </c>
      <c r="F71" s="390" t="e">
        <f t="shared" si="9"/>
        <v>#N/A</v>
      </c>
      <c r="G71" s="392">
        <f t="shared" si="10"/>
      </c>
      <c r="H71" s="390">
        <f t="shared" si="11"/>
      </c>
    </row>
    <row r="72" spans="2:8" ht="12.75">
      <c r="B72" s="91">
        <f t="shared" si="12"/>
        <v>17</v>
      </c>
      <c r="C72" s="91">
        <f t="shared" si="13"/>
        <v>3</v>
      </c>
      <c r="D72" s="385"/>
      <c r="E72" s="390" t="e">
        <f t="shared" si="14"/>
        <v>#N/A</v>
      </c>
      <c r="F72" s="390" t="e">
        <f t="shared" si="9"/>
        <v>#N/A</v>
      </c>
      <c r="G72" s="392">
        <f t="shared" si="10"/>
      </c>
      <c r="H72" s="390">
        <f t="shared" si="11"/>
      </c>
    </row>
    <row r="73" spans="2:8" ht="12.75">
      <c r="B73" s="91">
        <f t="shared" si="12"/>
        <v>17</v>
      </c>
      <c r="C73" s="91">
        <f t="shared" si="13"/>
        <v>4</v>
      </c>
      <c r="D73" s="385"/>
      <c r="E73" s="390" t="e">
        <f t="shared" si="14"/>
        <v>#N/A</v>
      </c>
      <c r="F73" s="390" t="e">
        <f t="shared" si="9"/>
        <v>#N/A</v>
      </c>
      <c r="G73" s="392">
        <f t="shared" si="10"/>
      </c>
      <c r="H73" s="390">
        <f t="shared" si="11"/>
      </c>
    </row>
    <row r="74" spans="2:8" ht="12.75">
      <c r="B74" s="91">
        <f t="shared" si="12"/>
        <v>18</v>
      </c>
      <c r="C74" s="91">
        <f t="shared" si="13"/>
        <v>1</v>
      </c>
      <c r="D74" s="385"/>
      <c r="E74" s="390" t="e">
        <f t="shared" si="14"/>
        <v>#N/A</v>
      </c>
      <c r="F74" s="390" t="e">
        <f t="shared" si="9"/>
        <v>#N/A</v>
      </c>
      <c r="G74" s="392">
        <f t="shared" si="10"/>
      </c>
      <c r="H74" s="390">
        <f t="shared" si="11"/>
      </c>
    </row>
    <row r="75" spans="2:8" ht="13.5" thickBot="1">
      <c r="B75" s="91">
        <f t="shared" si="12"/>
        <v>18</v>
      </c>
      <c r="C75" s="91">
        <f t="shared" si="13"/>
        <v>2</v>
      </c>
      <c r="D75" s="385"/>
      <c r="E75" s="390" t="e">
        <f t="shared" si="14"/>
        <v>#N/A</v>
      </c>
      <c r="F75" s="390" t="e">
        <f t="shared" si="9"/>
        <v>#N/A</v>
      </c>
      <c r="G75" s="398">
        <f t="shared" si="10"/>
      </c>
      <c r="H75" s="390">
        <f t="shared" si="11"/>
      </c>
    </row>
    <row r="76" spans="2:8" ht="12.75">
      <c r="B76" s="91"/>
      <c r="C76" s="91"/>
      <c r="D76" s="91"/>
      <c r="E76" s="91"/>
      <c r="F76" s="91"/>
      <c r="G76" s="91"/>
      <c r="H76" s="91"/>
    </row>
  </sheetData>
  <conditionalFormatting sqref="F7:F75">
    <cfRule type="expression" priority="1" dxfId="3" stopIfTrue="1">
      <formula>NOT(ISNUMBER(D6))</formula>
    </cfRule>
  </conditionalFormatting>
  <conditionalFormatting sqref="E6:E75">
    <cfRule type="expression" priority="2" dxfId="3" stopIfTrue="1">
      <formula>NOT(ISNUMBER(D6))</formula>
    </cfRule>
  </conditionalFormatting>
  <conditionalFormatting sqref="K13">
    <cfRule type="expression" priority="3" dxfId="4" stopIfTrue="1">
      <formula>(TypeOfSeasonality="Quarterly")</formula>
    </cfRule>
  </conditionalFormatting>
  <conditionalFormatting sqref="K14:K20">
    <cfRule type="expression" priority="4" dxfId="4" stopIfTrue="1">
      <formula>(TypeOfSeasonality&lt;&gt;"Monthly")</formula>
    </cfRule>
  </conditionalFormatting>
  <dataValidations count="1">
    <dataValidation type="list" allowBlank="1" showInputMessage="1" showErrorMessage="1" sqref="K6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0" customWidth="1"/>
    <col min="2" max="2" width="5.75390625" style="30" bestFit="1" customWidth="1"/>
    <col min="3" max="3" width="8.875" style="30" customWidth="1"/>
    <col min="4" max="4" width="8.75390625" style="30" customWidth="1"/>
    <col min="5" max="6" width="11.75390625" style="30" customWidth="1"/>
    <col min="7" max="7" width="10.00390625" style="30" customWidth="1"/>
    <col min="8" max="8" width="12.75390625" style="30" customWidth="1"/>
    <col min="9" max="9" width="4.25390625" style="30" customWidth="1"/>
    <col min="10" max="10" width="9.25390625" style="30" customWidth="1"/>
    <col min="11" max="11" width="20.00390625" style="30" customWidth="1"/>
    <col min="12" max="12" width="5.875" style="30" customWidth="1"/>
    <col min="13" max="13" width="26.875" style="30" bestFit="1" customWidth="1"/>
    <col min="14" max="14" width="8.125" style="30" bestFit="1" customWidth="1"/>
    <col min="15" max="16384" width="10.875" style="30" customWidth="1"/>
  </cols>
  <sheetData>
    <row r="1" ht="18">
      <c r="A1" s="28" t="s">
        <v>118</v>
      </c>
    </row>
    <row r="2" ht="13.5" thickBot="1"/>
    <row r="3" spans="5:14" ht="13.5" thickBot="1">
      <c r="E3" s="87" t="s">
        <v>104</v>
      </c>
      <c r="F3" s="87" t="s">
        <v>104</v>
      </c>
      <c r="M3" s="388" t="s">
        <v>501</v>
      </c>
      <c r="N3" s="389" t="s">
        <v>502</v>
      </c>
    </row>
    <row r="4" spans="2:14" ht="12.75">
      <c r="B4" s="87"/>
      <c r="C4" s="87"/>
      <c r="D4" s="87" t="s">
        <v>93</v>
      </c>
      <c r="E4" s="87" t="s">
        <v>105</v>
      </c>
      <c r="F4" s="87" t="s">
        <v>105</v>
      </c>
      <c r="G4" s="87" t="s">
        <v>360</v>
      </c>
      <c r="H4" s="87" t="s">
        <v>28</v>
      </c>
      <c r="M4" s="376" t="s">
        <v>106</v>
      </c>
      <c r="N4" s="377" t="s">
        <v>107</v>
      </c>
    </row>
    <row r="5" spans="2:14" ht="13.5" thickBot="1">
      <c r="B5" s="87" t="str">
        <f>IF(TypeOfSeasonality="Daily","Week","Year")</f>
        <v>Year</v>
      </c>
      <c r="C5" s="87" t="str">
        <f>IF(TypeOfSeasonality="Quarterly","Quarter",IF(TypeOfSeasonality="Monthly","Month","Day"))</f>
        <v>Quarter</v>
      </c>
      <c r="D5" s="87" t="s">
        <v>433</v>
      </c>
      <c r="E5" s="87" t="s">
        <v>433</v>
      </c>
      <c r="F5" s="87" t="s">
        <v>30</v>
      </c>
      <c r="G5" s="87" t="s">
        <v>30</v>
      </c>
      <c r="H5" s="87" t="s">
        <v>31</v>
      </c>
      <c r="K5" s="87" t="s">
        <v>94</v>
      </c>
      <c r="M5" s="376" t="s">
        <v>35</v>
      </c>
      <c r="N5" s="377" t="s">
        <v>108</v>
      </c>
    </row>
    <row r="6" spans="2:14" ht="12.75">
      <c r="B6" s="91">
        <f aca="true" t="shared" si="0" ref="B6:B37">IF(TypeOfSeasonality="Quarterly",TRUNC((ROW(B6)-2)/4),IF(TypeOfSeasonality="Monthly",TRUNC((ROW(B6)+6)/12),TRUNC((ROW(B6)-1)/5)))</f>
        <v>1</v>
      </c>
      <c r="C6" s="91">
        <f aca="true" t="shared" si="1" ref="C6:C37">IF(TypeOfSeasonality="Quarterly",INDEX($J$9:$J$12,MOD(ROW(B6)+2,4)+1,1),IF(TypeOfSeasonality="Monthly",INDEX($J$9:$J$20,MOD(ROW(B6)-6,12)+1,1),INDEX($J$9:$J$13,MOD(ROW(B6)-1,5)+1,1)))</f>
        <v>1</v>
      </c>
      <c r="D6" s="344">
        <v>242</v>
      </c>
      <c r="E6" s="390">
        <f aca="true" t="shared" si="2" ref="E6:E37">IF(ISNUMBER(TrueValue),TrueValue/VLOOKUP(C6,$J$9:$K$20,2,FALSE),NA())</f>
        <v>275.626423690205</v>
      </c>
      <c r="F6" s="390"/>
      <c r="G6" s="391"/>
      <c r="H6" s="390"/>
      <c r="K6" s="90" t="s">
        <v>97</v>
      </c>
      <c r="M6" s="376" t="s">
        <v>37</v>
      </c>
      <c r="N6" s="377" t="s">
        <v>109</v>
      </c>
    </row>
    <row r="7" spans="2:14" ht="12.75">
      <c r="B7" s="91">
        <f t="shared" si="0"/>
        <v>1</v>
      </c>
      <c r="C7" s="91">
        <f t="shared" si="1"/>
        <v>2</v>
      </c>
      <c r="D7" s="344">
        <v>282</v>
      </c>
      <c r="E7" s="390">
        <f t="shared" si="2"/>
        <v>286.35255889520715</v>
      </c>
      <c r="F7" s="390">
        <f>IF(ISNUMBER(D6),AVERAGE($E$6:E6),NA())</f>
        <v>275.626423690205</v>
      </c>
      <c r="G7" s="392">
        <f aca="true" t="shared" si="3" ref="G7:G38">IF(ISNUMBER(SeasonallyAdjustedForecast),SeasonallyAdjustedForecast*VLOOKUP(C7,$J$9:$K$20,2,FALSE),"")</f>
        <v>271.4369020501139</v>
      </c>
      <c r="H7" s="390">
        <f aca="true" t="shared" si="4" ref="H7:H38">IF(AND(ISNUMBER(TrueValue),ISNUMBER(ActualForecast)),ABS(TrueValue-ActualForecast),"")</f>
        <v>10.563097949886128</v>
      </c>
      <c r="M7" s="376" t="s">
        <v>40</v>
      </c>
      <c r="N7" s="377" t="s">
        <v>110</v>
      </c>
    </row>
    <row r="8" spans="2:14" ht="12.75">
      <c r="B8" s="91">
        <f t="shared" si="0"/>
        <v>1</v>
      </c>
      <c r="C8" s="91">
        <f t="shared" si="1"/>
        <v>3</v>
      </c>
      <c r="D8" s="344">
        <v>254</v>
      </c>
      <c r="E8" s="390">
        <f t="shared" si="2"/>
        <v>281.19118786671095</v>
      </c>
      <c r="F8" s="390">
        <f>IF(ISNUMBER(D7),AVERAGE($E$6:E7),NA())</f>
        <v>280.9894912927061</v>
      </c>
      <c r="G8" s="392">
        <f t="shared" si="3"/>
        <v>253.8178074847014</v>
      </c>
      <c r="H8" s="390">
        <f t="shared" si="4"/>
        <v>0.18219251529859548</v>
      </c>
      <c r="J8" s="87" t="str">
        <f>IF(TypeOfSeasonality="Quarterly","Quarter",IF(TypeOfSeasonality="Monthly","Month","Day"))</f>
        <v>Quarter</v>
      </c>
      <c r="K8" s="87" t="s">
        <v>102</v>
      </c>
      <c r="M8" s="376" t="s">
        <v>95</v>
      </c>
      <c r="N8" s="377" t="s">
        <v>111</v>
      </c>
    </row>
    <row r="9" spans="2:14" ht="12.75">
      <c r="B9" s="91">
        <f t="shared" si="0"/>
        <v>1</v>
      </c>
      <c r="C9" s="91">
        <f t="shared" si="1"/>
        <v>4</v>
      </c>
      <c r="D9" s="344">
        <v>345</v>
      </c>
      <c r="E9" s="390">
        <f t="shared" si="2"/>
        <v>279.6012642839776</v>
      </c>
      <c r="F9" s="390">
        <f>IF(ISNUMBER(D8),AVERAGE($E$6:E8),NA())</f>
        <v>281.056723484041</v>
      </c>
      <c r="G9" s="392">
        <f t="shared" si="3"/>
        <v>346.7958911069582</v>
      </c>
      <c r="H9" s="390">
        <f t="shared" si="4"/>
        <v>1.7958911069582086</v>
      </c>
      <c r="J9" s="91">
        <f>IF(TypeOfSeasonality="Quarterly",1,IF(TypeOfSeasonality="Monthly","Jan","Mon"))</f>
        <v>1</v>
      </c>
      <c r="K9" s="393">
        <v>0.878</v>
      </c>
      <c r="M9" s="376" t="s">
        <v>112</v>
      </c>
      <c r="N9" s="377" t="s">
        <v>113</v>
      </c>
    </row>
    <row r="10" spans="2:14" ht="12.75">
      <c r="B10" s="91">
        <f t="shared" si="0"/>
        <v>2</v>
      </c>
      <c r="C10" s="91">
        <f t="shared" si="1"/>
        <v>1</v>
      </c>
      <c r="D10" s="344">
        <v>253</v>
      </c>
      <c r="E10" s="390">
        <f t="shared" si="2"/>
        <v>288.15489749430526</v>
      </c>
      <c r="F10" s="390">
        <f>IF(ISNUMBER(D9),AVERAGE($E$6:E9),NA())</f>
        <v>280.69285868402517</v>
      </c>
      <c r="G10" s="392">
        <f t="shared" si="3"/>
        <v>246.4483299245741</v>
      </c>
      <c r="H10" s="390">
        <f t="shared" si="4"/>
        <v>6.551670075425903</v>
      </c>
      <c r="J10" s="91">
        <f>IF(TypeOfSeasonality="Quarterly",2,IF(TypeOfSeasonality="Monthly","Feb","Tue"))</f>
        <v>2</v>
      </c>
      <c r="K10" s="393">
        <v>0.9848</v>
      </c>
      <c r="M10" s="376" t="s">
        <v>114</v>
      </c>
      <c r="N10" s="377" t="s">
        <v>115</v>
      </c>
    </row>
    <row r="11" spans="2:14" ht="12.75">
      <c r="B11" s="91">
        <f t="shared" si="0"/>
        <v>2</v>
      </c>
      <c r="C11" s="91">
        <f t="shared" si="1"/>
        <v>2</v>
      </c>
      <c r="D11" s="344">
        <v>290</v>
      </c>
      <c r="E11" s="390">
        <f t="shared" si="2"/>
        <v>294.47603574329816</v>
      </c>
      <c r="F11" s="390">
        <f>IF(ISNUMBER(D10),AVERAGE($E$6:E10),NA())</f>
        <v>282.1852664460812</v>
      </c>
      <c r="G11" s="392">
        <f t="shared" si="3"/>
        <v>277.89605039610075</v>
      </c>
      <c r="H11" s="390">
        <f t="shared" si="4"/>
        <v>12.103949603899252</v>
      </c>
      <c r="J11" s="91">
        <f>IF(TypeOfSeasonality="Quarterly",3,IF(TypeOfSeasonality="Monthly","Mar","Wed"))</f>
        <v>3</v>
      </c>
      <c r="K11" s="393">
        <v>0.9033</v>
      </c>
      <c r="M11" s="376" t="s">
        <v>43</v>
      </c>
      <c r="N11" s="377" t="s">
        <v>116</v>
      </c>
    </row>
    <row r="12" spans="2:14" ht="13.5" thickBot="1">
      <c r="B12" s="91">
        <f t="shared" si="0"/>
        <v>2</v>
      </c>
      <c r="C12" s="91">
        <f t="shared" si="1"/>
        <v>3</v>
      </c>
      <c r="D12" s="344">
        <v>262</v>
      </c>
      <c r="E12" s="390">
        <f t="shared" si="2"/>
        <v>290.0476032325916</v>
      </c>
      <c r="F12" s="390">
        <f>IF(ISNUMBER(D11),AVERAGE($E$6:E11),NA())</f>
        <v>284.23372799561736</v>
      </c>
      <c r="G12" s="392">
        <f t="shared" si="3"/>
        <v>256.74832649844114</v>
      </c>
      <c r="H12" s="390">
        <f t="shared" si="4"/>
        <v>5.251673501558855</v>
      </c>
      <c r="J12" s="91">
        <f>IF(TypeOfSeasonality="Quarterly",4,IF(TypeOfSeasonality="Monthly","Apr","Thur"))</f>
        <v>4</v>
      </c>
      <c r="K12" s="393">
        <v>1.2339</v>
      </c>
      <c r="M12" s="380" t="s">
        <v>99</v>
      </c>
      <c r="N12" s="381" t="s">
        <v>117</v>
      </c>
    </row>
    <row r="13" spans="2:11" ht="12.75">
      <c r="B13" s="91">
        <f t="shared" si="0"/>
        <v>2</v>
      </c>
      <c r="C13" s="91">
        <f t="shared" si="1"/>
        <v>4</v>
      </c>
      <c r="D13" s="344">
        <v>352</v>
      </c>
      <c r="E13" s="390">
        <f t="shared" si="2"/>
        <v>285.27433341437717</v>
      </c>
      <c r="F13" s="390">
        <f>IF(ISNUMBER(D12),AVERAGE($E$6:E12),NA())</f>
        <v>285.0642816008994</v>
      </c>
      <c r="G13" s="392">
        <f t="shared" si="3"/>
        <v>351.7408170673498</v>
      </c>
      <c r="H13" s="390">
        <f t="shared" si="4"/>
        <v>0.2591829326502193</v>
      </c>
      <c r="J13" s="91">
        <f>IF(TypeOfSeasonality="Quarterly","",IF(TypeOfSeasonality="Monthly","May","Fri"))</f>
      </c>
      <c r="K13" s="393">
        <v>1</v>
      </c>
    </row>
    <row r="14" spans="2:11" ht="12.75">
      <c r="B14" s="91">
        <f t="shared" si="0"/>
        <v>3</v>
      </c>
      <c r="C14" s="91">
        <f t="shared" si="1"/>
        <v>1</v>
      </c>
      <c r="D14" s="344">
        <v>270</v>
      </c>
      <c r="E14" s="390">
        <f t="shared" si="2"/>
        <v>307.51708428246013</v>
      </c>
      <c r="F14" s="390">
        <f>IF(ISNUMBER(D13),AVERAGE($E$6:E13),NA())</f>
        <v>285.0905380775841</v>
      </c>
      <c r="G14" s="392">
        <f t="shared" si="3"/>
        <v>250.30949243211882</v>
      </c>
      <c r="H14" s="390">
        <f t="shared" si="4"/>
        <v>19.690507567881184</v>
      </c>
      <c r="J14" s="91">
        <f>IF(TypeOfSeasonality="Monthly","June","")</f>
      </c>
      <c r="K14" s="393">
        <v>1</v>
      </c>
    </row>
    <row r="15" spans="2:11" ht="12.75">
      <c r="B15" s="91">
        <f t="shared" si="0"/>
        <v>3</v>
      </c>
      <c r="C15" s="91">
        <f t="shared" si="1"/>
        <v>2</v>
      </c>
      <c r="D15" s="344">
        <v>286</v>
      </c>
      <c r="E15" s="390">
        <f t="shared" si="2"/>
        <v>290.4142973192526</v>
      </c>
      <c r="F15" s="390">
        <f>IF(ISNUMBER(D14),AVERAGE($E$6:E14),NA())</f>
        <v>287.5823765447925</v>
      </c>
      <c r="G15" s="392">
        <f t="shared" si="3"/>
        <v>283.21112442131164</v>
      </c>
      <c r="H15" s="390">
        <f t="shared" si="4"/>
        <v>2.788875578688362</v>
      </c>
      <c r="J15" s="91">
        <f>IF(TypeOfSeasonality="Monthly","July","")</f>
      </c>
      <c r="K15" s="393">
        <v>1</v>
      </c>
    </row>
    <row r="16" spans="2:11" ht="12.75">
      <c r="B16" s="91">
        <f t="shared" si="0"/>
        <v>3</v>
      </c>
      <c r="C16" s="91">
        <f t="shared" si="1"/>
        <v>3</v>
      </c>
      <c r="D16" s="344">
        <v>271</v>
      </c>
      <c r="E16" s="390">
        <f t="shared" si="2"/>
        <v>300.01107051920735</v>
      </c>
      <c r="F16" s="390">
        <f>IF(ISNUMBER(D15),AVERAGE($E$6:E15),NA())</f>
        <v>287.8655686222385</v>
      </c>
      <c r="G16" s="392">
        <f t="shared" si="3"/>
        <v>260.02896813646805</v>
      </c>
      <c r="H16" s="390">
        <f t="shared" si="4"/>
        <v>10.971031863531948</v>
      </c>
      <c r="J16" s="91">
        <f>IF(TypeOfSeasonality="Monthly","Aug","")</f>
      </c>
      <c r="K16" s="393">
        <v>1</v>
      </c>
    </row>
    <row r="17" spans="2:11" ht="12.75">
      <c r="B17" s="91">
        <f t="shared" si="0"/>
        <v>3</v>
      </c>
      <c r="C17" s="91">
        <f t="shared" si="1"/>
        <v>4</v>
      </c>
      <c r="D17" s="344">
        <v>378</v>
      </c>
      <c r="E17" s="390">
        <f t="shared" si="2"/>
        <v>306.3457330415755</v>
      </c>
      <c r="F17" s="390">
        <f>IF(ISNUMBER(D16),AVERAGE($E$6:E16),NA())</f>
        <v>288.9697051583266</v>
      </c>
      <c r="G17" s="392">
        <f t="shared" si="3"/>
        <v>356.55971919485916</v>
      </c>
      <c r="H17" s="390">
        <f t="shared" si="4"/>
        <v>21.440280805140844</v>
      </c>
      <c r="J17" s="91">
        <f>IF(TypeOfSeasonality="Monthly","Sep","")</f>
      </c>
      <c r="K17" s="393">
        <v>1</v>
      </c>
    </row>
    <row r="18" spans="2:11" ht="12.75">
      <c r="B18" s="91">
        <f t="shared" si="0"/>
        <v>4</v>
      </c>
      <c r="C18" s="91">
        <f t="shared" si="1"/>
        <v>1</v>
      </c>
      <c r="D18" s="385"/>
      <c r="E18" s="390" t="e">
        <f t="shared" si="2"/>
        <v>#N/A</v>
      </c>
      <c r="F18" s="390">
        <f>IF(ISNUMBER(D17),AVERAGE($E$6:E17),NA())</f>
        <v>290.4177074819307</v>
      </c>
      <c r="G18" s="392">
        <f t="shared" si="3"/>
        <v>254.98674716913513</v>
      </c>
      <c r="H18" s="390">
        <f t="shared" si="4"/>
      </c>
      <c r="J18" s="91">
        <f>IF(TypeOfSeasonality="Monthly","Oct","")</f>
      </c>
      <c r="K18" s="393">
        <v>1</v>
      </c>
    </row>
    <row r="19" spans="2:11" ht="12.75">
      <c r="B19" s="91">
        <f t="shared" si="0"/>
        <v>4</v>
      </c>
      <c r="C19" s="91">
        <f t="shared" si="1"/>
        <v>2</v>
      </c>
      <c r="D19" s="385"/>
      <c r="E19" s="390" t="e">
        <f t="shared" si="2"/>
        <v>#N/A</v>
      </c>
      <c r="F19" s="390" t="e">
        <f>IF(ISNUMBER(D18),AVERAGE($E$6:E18),NA())</f>
        <v>#N/A</v>
      </c>
      <c r="G19" s="392">
        <f t="shared" si="3"/>
      </c>
      <c r="H19" s="390">
        <f t="shared" si="4"/>
      </c>
      <c r="J19" s="91">
        <f>IF(TypeOfSeasonality="Monthly","Nov","")</f>
      </c>
      <c r="K19" s="393">
        <v>1</v>
      </c>
    </row>
    <row r="20" spans="2:11" ht="12.75">
      <c r="B20" s="91">
        <f t="shared" si="0"/>
        <v>4</v>
      </c>
      <c r="C20" s="91">
        <f t="shared" si="1"/>
        <v>3</v>
      </c>
      <c r="D20" s="90"/>
      <c r="E20" s="390" t="e">
        <f t="shared" si="2"/>
        <v>#N/A</v>
      </c>
      <c r="F20" s="390" t="e">
        <f>IF(ISNUMBER(D19),AVERAGE($E$6:E19),NA())</f>
        <v>#N/A</v>
      </c>
      <c r="G20" s="392">
        <f t="shared" si="3"/>
      </c>
      <c r="H20" s="390">
        <f t="shared" si="4"/>
      </c>
      <c r="J20" s="91">
        <f>IF(TypeOfSeasonality="Monthly","Dec","")</f>
      </c>
      <c r="K20" s="393">
        <v>1</v>
      </c>
    </row>
    <row r="21" spans="2:8" ht="12.75">
      <c r="B21" s="91">
        <f t="shared" si="0"/>
        <v>4</v>
      </c>
      <c r="C21" s="91">
        <f t="shared" si="1"/>
        <v>4</v>
      </c>
      <c r="D21" s="90"/>
      <c r="E21" s="390" t="e">
        <f t="shared" si="2"/>
        <v>#N/A</v>
      </c>
      <c r="F21" s="390" t="e">
        <f>IF(ISNUMBER(D20),AVERAGE($E$6:E20),NA())</f>
        <v>#N/A</v>
      </c>
      <c r="G21" s="392">
        <f t="shared" si="3"/>
      </c>
      <c r="H21" s="390">
        <f t="shared" si="4"/>
      </c>
    </row>
    <row r="22" spans="2:10" ht="13.5" thickBot="1">
      <c r="B22" s="91">
        <f t="shared" si="0"/>
        <v>5</v>
      </c>
      <c r="C22" s="91">
        <f t="shared" si="1"/>
        <v>1</v>
      </c>
      <c r="D22" s="90"/>
      <c r="E22" s="390" t="e">
        <f t="shared" si="2"/>
        <v>#N/A</v>
      </c>
      <c r="F22" s="390" t="e">
        <f>IF(ISNUMBER(D21),AVERAGE($E$6:E21),NA())</f>
        <v>#N/A</v>
      </c>
      <c r="G22" s="392">
        <f t="shared" si="3"/>
      </c>
      <c r="H22" s="390">
        <f t="shared" si="4"/>
      </c>
      <c r="J22" s="29" t="s">
        <v>32</v>
      </c>
    </row>
    <row r="23" spans="2:11" ht="13.5" thickBot="1">
      <c r="B23" s="91">
        <f t="shared" si="0"/>
        <v>5</v>
      </c>
      <c r="C23" s="91">
        <f t="shared" si="1"/>
        <v>2</v>
      </c>
      <c r="D23" s="90"/>
      <c r="E23" s="390" t="e">
        <f t="shared" si="2"/>
        <v>#N/A</v>
      </c>
      <c r="F23" s="390" t="e">
        <f>IF(ISNUMBER(D22),AVERAGE($E$6:E22),NA())</f>
        <v>#N/A</v>
      </c>
      <c r="G23" s="392">
        <f t="shared" si="3"/>
      </c>
      <c r="H23" s="390">
        <f t="shared" si="4"/>
      </c>
      <c r="J23" s="394" t="s">
        <v>34</v>
      </c>
      <c r="K23" s="399">
        <f>AVERAGE(ForecastingError)</f>
        <v>8.327123045538137</v>
      </c>
    </row>
    <row r="24" spans="2:8" ht="12.75">
      <c r="B24" s="91">
        <f t="shared" si="0"/>
        <v>5</v>
      </c>
      <c r="C24" s="91">
        <f t="shared" si="1"/>
        <v>3</v>
      </c>
      <c r="D24" s="90"/>
      <c r="E24" s="390" t="e">
        <f t="shared" si="2"/>
        <v>#N/A</v>
      </c>
      <c r="F24" s="390" t="e">
        <f>IF(ISNUMBER(D23),AVERAGE($E$6:E23),NA())</f>
        <v>#N/A</v>
      </c>
      <c r="G24" s="392">
        <f t="shared" si="3"/>
      </c>
      <c r="H24" s="390">
        <f t="shared" si="4"/>
      </c>
    </row>
    <row r="25" spans="2:10" ht="13.5" thickBot="1">
      <c r="B25" s="91">
        <f t="shared" si="0"/>
        <v>5</v>
      </c>
      <c r="C25" s="91">
        <f t="shared" si="1"/>
        <v>4</v>
      </c>
      <c r="D25" s="90"/>
      <c r="E25" s="390" t="e">
        <f t="shared" si="2"/>
        <v>#N/A</v>
      </c>
      <c r="F25" s="390" t="e">
        <f>IF(ISNUMBER(D24),AVERAGE($E$6:E24),NA())</f>
        <v>#N/A</v>
      </c>
      <c r="G25" s="392">
        <f t="shared" si="3"/>
      </c>
      <c r="H25" s="390">
        <f t="shared" si="4"/>
      </c>
      <c r="J25" s="29" t="s">
        <v>39</v>
      </c>
    </row>
    <row r="26" spans="2:11" ht="13.5" thickBot="1">
      <c r="B26" s="91">
        <f t="shared" si="0"/>
        <v>6</v>
      </c>
      <c r="C26" s="91">
        <f t="shared" si="1"/>
        <v>1</v>
      </c>
      <c r="D26" s="90"/>
      <c r="E26" s="390" t="e">
        <f t="shared" si="2"/>
        <v>#N/A</v>
      </c>
      <c r="F26" s="390" t="e">
        <f>IF(ISNUMBER(D25),AVERAGE($E$6:E25),NA())</f>
        <v>#N/A</v>
      </c>
      <c r="G26" s="392">
        <f t="shared" si="3"/>
      </c>
      <c r="H26" s="390">
        <f t="shared" si="4"/>
      </c>
      <c r="J26" s="396" t="s">
        <v>42</v>
      </c>
      <c r="K26" s="400">
        <f>SUMSQ(ForecastingError)/COUNT(ForecastingError)</f>
        <v>118.8597982598366</v>
      </c>
    </row>
    <row r="27" spans="2:8" ht="12.75">
      <c r="B27" s="91">
        <f t="shared" si="0"/>
        <v>6</v>
      </c>
      <c r="C27" s="91">
        <f t="shared" si="1"/>
        <v>2</v>
      </c>
      <c r="D27" s="90"/>
      <c r="E27" s="390" t="e">
        <f t="shared" si="2"/>
        <v>#N/A</v>
      </c>
      <c r="F27" s="390" t="e">
        <f>IF(ISNUMBER(D26),AVERAGE($E$6:E26),NA())</f>
        <v>#N/A</v>
      </c>
      <c r="G27" s="392">
        <f t="shared" si="3"/>
      </c>
      <c r="H27" s="390">
        <f t="shared" si="4"/>
      </c>
    </row>
    <row r="28" spans="2:8" ht="12.75">
      <c r="B28" s="91">
        <f t="shared" si="0"/>
        <v>6</v>
      </c>
      <c r="C28" s="91">
        <f t="shared" si="1"/>
        <v>3</v>
      </c>
      <c r="D28" s="90"/>
      <c r="E28" s="390" t="e">
        <f t="shared" si="2"/>
        <v>#N/A</v>
      </c>
      <c r="F28" s="390" t="e">
        <f>IF(ISNUMBER(D27),AVERAGE($E$6:E27),NA())</f>
        <v>#N/A</v>
      </c>
      <c r="G28" s="392">
        <f t="shared" si="3"/>
      </c>
      <c r="H28" s="390">
        <f t="shared" si="4"/>
      </c>
    </row>
    <row r="29" spans="2:8" ht="12.75">
      <c r="B29" s="91">
        <f t="shared" si="0"/>
        <v>6</v>
      </c>
      <c r="C29" s="91">
        <f t="shared" si="1"/>
        <v>4</v>
      </c>
      <c r="D29" s="90"/>
      <c r="E29" s="390" t="e">
        <f t="shared" si="2"/>
        <v>#N/A</v>
      </c>
      <c r="F29" s="390" t="e">
        <f>IF(ISNUMBER(D28),AVERAGE($E$6:E28),NA())</f>
        <v>#N/A</v>
      </c>
      <c r="G29" s="392">
        <f t="shared" si="3"/>
      </c>
      <c r="H29" s="390">
        <f t="shared" si="4"/>
      </c>
    </row>
    <row r="30" spans="2:8" ht="12.75">
      <c r="B30" s="91">
        <f t="shared" si="0"/>
        <v>7</v>
      </c>
      <c r="C30" s="91">
        <f t="shared" si="1"/>
        <v>1</v>
      </c>
      <c r="D30" s="90"/>
      <c r="E30" s="390" t="e">
        <f t="shared" si="2"/>
        <v>#N/A</v>
      </c>
      <c r="F30" s="390" t="e">
        <f>IF(ISNUMBER(D29),AVERAGE($E$6:E29),NA())</f>
        <v>#N/A</v>
      </c>
      <c r="G30" s="392">
        <f t="shared" si="3"/>
      </c>
      <c r="H30" s="390">
        <f t="shared" si="4"/>
      </c>
    </row>
    <row r="31" spans="1:10" ht="12.75">
      <c r="A31" s="91"/>
      <c r="B31" s="91">
        <f t="shared" si="0"/>
        <v>7</v>
      </c>
      <c r="C31" s="91">
        <f t="shared" si="1"/>
        <v>2</v>
      </c>
      <c r="D31" s="90"/>
      <c r="E31" s="390" t="e">
        <f t="shared" si="2"/>
        <v>#N/A</v>
      </c>
      <c r="F31" s="390" t="e">
        <f>IF(ISNUMBER(D30),AVERAGE($E$6:E30),NA())</f>
        <v>#N/A</v>
      </c>
      <c r="G31" s="392">
        <f t="shared" si="3"/>
      </c>
      <c r="H31" s="390">
        <f t="shared" si="4"/>
      </c>
      <c r="I31" s="91"/>
      <c r="J31" s="91"/>
    </row>
    <row r="32" spans="1:10" ht="12.75">
      <c r="A32" s="91"/>
      <c r="B32" s="91">
        <f t="shared" si="0"/>
        <v>7</v>
      </c>
      <c r="C32" s="91">
        <f t="shared" si="1"/>
        <v>3</v>
      </c>
      <c r="D32" s="90"/>
      <c r="E32" s="390" t="e">
        <f t="shared" si="2"/>
        <v>#N/A</v>
      </c>
      <c r="F32" s="390" t="e">
        <f>IF(ISNUMBER(D31),AVERAGE($E$6:E31),NA())</f>
        <v>#N/A</v>
      </c>
      <c r="G32" s="392">
        <f t="shared" si="3"/>
      </c>
      <c r="H32" s="390">
        <f t="shared" si="4"/>
      </c>
      <c r="I32" s="91"/>
      <c r="J32" s="91"/>
    </row>
    <row r="33" spans="1:10" ht="12.75">
      <c r="A33" s="91"/>
      <c r="B33" s="91">
        <f t="shared" si="0"/>
        <v>7</v>
      </c>
      <c r="C33" s="91">
        <f t="shared" si="1"/>
        <v>4</v>
      </c>
      <c r="D33" s="90"/>
      <c r="E33" s="390" t="e">
        <f t="shared" si="2"/>
        <v>#N/A</v>
      </c>
      <c r="F33" s="390" t="e">
        <f>IF(ISNUMBER(D32),AVERAGE($E$6:E32),NA())</f>
        <v>#N/A</v>
      </c>
      <c r="G33" s="392">
        <f t="shared" si="3"/>
      </c>
      <c r="H33" s="390">
        <f t="shared" si="4"/>
      </c>
      <c r="I33" s="91"/>
      <c r="J33" s="91"/>
    </row>
    <row r="34" spans="1:10" ht="12.75">
      <c r="A34" s="91"/>
      <c r="B34" s="91">
        <f t="shared" si="0"/>
        <v>8</v>
      </c>
      <c r="C34" s="91">
        <f t="shared" si="1"/>
        <v>1</v>
      </c>
      <c r="D34" s="90"/>
      <c r="E34" s="390" t="e">
        <f t="shared" si="2"/>
        <v>#N/A</v>
      </c>
      <c r="F34" s="390" t="e">
        <f>IF(ISNUMBER(D33),AVERAGE($E$6:E33),NA())</f>
        <v>#N/A</v>
      </c>
      <c r="G34" s="392">
        <f t="shared" si="3"/>
      </c>
      <c r="H34" s="390">
        <f t="shared" si="4"/>
      </c>
      <c r="I34" s="91"/>
      <c r="J34" s="91"/>
    </row>
    <row r="35" spans="1:10" ht="12.75">
      <c r="A35" s="91"/>
      <c r="B35" s="91">
        <f t="shared" si="0"/>
        <v>8</v>
      </c>
      <c r="C35" s="91">
        <f t="shared" si="1"/>
        <v>2</v>
      </c>
      <c r="D35" s="90"/>
      <c r="E35" s="390" t="e">
        <f t="shared" si="2"/>
        <v>#N/A</v>
      </c>
      <c r="F35" s="390" t="e">
        <f>IF(ISNUMBER(D34),AVERAGE($E$6:E34),NA())</f>
        <v>#N/A</v>
      </c>
      <c r="G35" s="392">
        <f t="shared" si="3"/>
      </c>
      <c r="H35" s="390">
        <f t="shared" si="4"/>
      </c>
      <c r="I35" s="91"/>
      <c r="J35" s="91"/>
    </row>
    <row r="36" spans="1:10" ht="12.75">
      <c r="A36" s="91"/>
      <c r="B36" s="91">
        <f t="shared" si="0"/>
        <v>8</v>
      </c>
      <c r="C36" s="91">
        <f t="shared" si="1"/>
        <v>3</v>
      </c>
      <c r="D36" s="90"/>
      <c r="E36" s="390" t="e">
        <f t="shared" si="2"/>
        <v>#N/A</v>
      </c>
      <c r="F36" s="390" t="e">
        <f>IF(ISNUMBER(D35),AVERAGE($E$6:E35),NA())</f>
        <v>#N/A</v>
      </c>
      <c r="G36" s="392">
        <f t="shared" si="3"/>
      </c>
      <c r="H36" s="390">
        <f t="shared" si="4"/>
      </c>
      <c r="I36" s="91"/>
      <c r="J36" s="91"/>
    </row>
    <row r="37" spans="2:8" ht="12.75">
      <c r="B37" s="91">
        <f t="shared" si="0"/>
        <v>8</v>
      </c>
      <c r="C37" s="91">
        <f t="shared" si="1"/>
        <v>4</v>
      </c>
      <c r="D37" s="90"/>
      <c r="E37" s="390" t="e">
        <f t="shared" si="2"/>
        <v>#N/A</v>
      </c>
      <c r="F37" s="390" t="e">
        <f>IF(ISNUMBER(D36),AVERAGE($E$6:E36),NA())</f>
        <v>#N/A</v>
      </c>
      <c r="G37" s="392">
        <f t="shared" si="3"/>
      </c>
      <c r="H37" s="390">
        <f t="shared" si="4"/>
      </c>
    </row>
    <row r="38" spans="2:8" ht="12.75">
      <c r="B38" s="91">
        <f aca="true" t="shared" si="5" ref="B38:B69">IF(TypeOfSeasonality="Quarterly",TRUNC((ROW(B38)-2)/4),IF(TypeOfSeasonality="Monthly",TRUNC((ROW(B38)+6)/12),TRUNC((ROW(B38)-1)/5)))</f>
        <v>9</v>
      </c>
      <c r="C38" s="91">
        <f aca="true" t="shared" si="6" ref="C38:C69">IF(TypeOfSeasonality="Quarterly",INDEX($J$9:$J$12,MOD(ROW(B38)+2,4)+1,1),IF(TypeOfSeasonality="Monthly",INDEX($J$9:$J$20,MOD(ROW(B38)-6,12)+1,1),INDEX($J$9:$J$13,MOD(ROW(B38)-1,5)+1,1)))</f>
        <v>1</v>
      </c>
      <c r="D38" s="90"/>
      <c r="E38" s="390" t="e">
        <f aca="true" t="shared" si="7" ref="E38:E69">IF(ISNUMBER(TrueValue),TrueValue/VLOOKUP(C38,$J$9:$K$20,2,FALSE),NA())</f>
        <v>#N/A</v>
      </c>
      <c r="F38" s="390" t="e">
        <f>IF(ISNUMBER(D37),AVERAGE($E$6:E37),NA())</f>
        <v>#N/A</v>
      </c>
      <c r="G38" s="392">
        <f t="shared" si="3"/>
      </c>
      <c r="H38" s="390">
        <f t="shared" si="4"/>
      </c>
    </row>
    <row r="39" spans="2:8" ht="12.75">
      <c r="B39" s="91">
        <f t="shared" si="5"/>
        <v>9</v>
      </c>
      <c r="C39" s="91">
        <f t="shared" si="6"/>
        <v>2</v>
      </c>
      <c r="D39" s="90"/>
      <c r="E39" s="390" t="e">
        <f t="shared" si="7"/>
        <v>#N/A</v>
      </c>
      <c r="F39" s="390" t="e">
        <f>IF(ISNUMBER(D38),AVERAGE($E$6:E38),NA())</f>
        <v>#N/A</v>
      </c>
      <c r="G39" s="392">
        <f aca="true" t="shared" si="8" ref="G39:G75">IF(ISNUMBER(SeasonallyAdjustedForecast),SeasonallyAdjustedForecast*VLOOKUP(C39,$J$9:$K$20,2,FALSE),"")</f>
      </c>
      <c r="H39" s="390">
        <f aca="true" t="shared" si="9" ref="H39:H75">IF(AND(ISNUMBER(TrueValue),ISNUMBER(ActualForecast)),ABS(TrueValue-ActualForecast),"")</f>
      </c>
    </row>
    <row r="40" spans="2:8" ht="12.75">
      <c r="B40" s="91">
        <f t="shared" si="5"/>
        <v>9</v>
      </c>
      <c r="C40" s="91">
        <f t="shared" si="6"/>
        <v>3</v>
      </c>
      <c r="D40" s="90"/>
      <c r="E40" s="390" t="e">
        <f t="shared" si="7"/>
        <v>#N/A</v>
      </c>
      <c r="F40" s="390" t="e">
        <f>IF(ISNUMBER(D39),AVERAGE($E$6:E39),NA())</f>
        <v>#N/A</v>
      </c>
      <c r="G40" s="392">
        <f t="shared" si="8"/>
      </c>
      <c r="H40" s="390">
        <f t="shared" si="9"/>
      </c>
    </row>
    <row r="41" spans="2:8" ht="12.75">
      <c r="B41" s="91">
        <f t="shared" si="5"/>
        <v>9</v>
      </c>
      <c r="C41" s="91">
        <f t="shared" si="6"/>
        <v>4</v>
      </c>
      <c r="D41" s="90"/>
      <c r="E41" s="390" t="e">
        <f t="shared" si="7"/>
        <v>#N/A</v>
      </c>
      <c r="F41" s="390" t="e">
        <f>IF(ISNUMBER(D40),AVERAGE($E$6:E40),NA())</f>
        <v>#N/A</v>
      </c>
      <c r="G41" s="392">
        <f t="shared" si="8"/>
      </c>
      <c r="H41" s="390">
        <f t="shared" si="9"/>
      </c>
    </row>
    <row r="42" spans="2:8" ht="12.75">
      <c r="B42" s="91">
        <f t="shared" si="5"/>
        <v>10</v>
      </c>
      <c r="C42" s="91">
        <f t="shared" si="6"/>
        <v>1</v>
      </c>
      <c r="D42" s="90"/>
      <c r="E42" s="390" t="e">
        <f t="shared" si="7"/>
        <v>#N/A</v>
      </c>
      <c r="F42" s="390" t="e">
        <f>IF(ISNUMBER(D41),AVERAGE($E$6:E41),NA())</f>
        <v>#N/A</v>
      </c>
      <c r="G42" s="392">
        <f t="shared" si="8"/>
      </c>
      <c r="H42" s="390">
        <f t="shared" si="9"/>
      </c>
    </row>
    <row r="43" spans="2:8" ht="12.75">
      <c r="B43" s="91">
        <f t="shared" si="5"/>
        <v>10</v>
      </c>
      <c r="C43" s="91">
        <f t="shared" si="6"/>
        <v>2</v>
      </c>
      <c r="D43" s="90"/>
      <c r="E43" s="390" t="e">
        <f t="shared" si="7"/>
        <v>#N/A</v>
      </c>
      <c r="F43" s="390" t="e">
        <f>IF(ISNUMBER(D42),AVERAGE($E$6:E42),NA())</f>
        <v>#N/A</v>
      </c>
      <c r="G43" s="392">
        <f t="shared" si="8"/>
      </c>
      <c r="H43" s="390">
        <f t="shared" si="9"/>
      </c>
    </row>
    <row r="44" spans="2:8" ht="12.75">
      <c r="B44" s="91">
        <f t="shared" si="5"/>
        <v>10</v>
      </c>
      <c r="C44" s="91">
        <f t="shared" si="6"/>
        <v>3</v>
      </c>
      <c r="D44" s="90"/>
      <c r="E44" s="390" t="e">
        <f t="shared" si="7"/>
        <v>#N/A</v>
      </c>
      <c r="F44" s="390" t="e">
        <f>IF(ISNUMBER(D43),AVERAGE($E$6:E43),NA())</f>
        <v>#N/A</v>
      </c>
      <c r="G44" s="392">
        <f t="shared" si="8"/>
      </c>
      <c r="H44" s="390">
        <f t="shared" si="9"/>
      </c>
    </row>
    <row r="45" spans="2:8" ht="12.75">
      <c r="B45" s="91">
        <f t="shared" si="5"/>
        <v>10</v>
      </c>
      <c r="C45" s="91">
        <f t="shared" si="6"/>
        <v>4</v>
      </c>
      <c r="D45" s="90"/>
      <c r="E45" s="390" t="e">
        <f t="shared" si="7"/>
        <v>#N/A</v>
      </c>
      <c r="F45" s="390" t="e">
        <f>IF(ISNUMBER(D44),AVERAGE($E$6:E44),NA())</f>
        <v>#N/A</v>
      </c>
      <c r="G45" s="392">
        <f t="shared" si="8"/>
      </c>
      <c r="H45" s="390">
        <f t="shared" si="9"/>
      </c>
    </row>
    <row r="46" spans="2:8" ht="12.75">
      <c r="B46" s="91">
        <f t="shared" si="5"/>
        <v>11</v>
      </c>
      <c r="C46" s="91">
        <f t="shared" si="6"/>
        <v>1</v>
      </c>
      <c r="D46" s="90"/>
      <c r="E46" s="390" t="e">
        <f t="shared" si="7"/>
        <v>#N/A</v>
      </c>
      <c r="F46" s="390" t="e">
        <f>IF(ISNUMBER(D45),AVERAGE($E$6:E45),NA())</f>
        <v>#N/A</v>
      </c>
      <c r="G46" s="392">
        <f t="shared" si="8"/>
      </c>
      <c r="H46" s="390">
        <f t="shared" si="9"/>
      </c>
    </row>
    <row r="47" spans="2:8" ht="12.75">
      <c r="B47" s="91">
        <f t="shared" si="5"/>
        <v>11</v>
      </c>
      <c r="C47" s="91">
        <f t="shared" si="6"/>
        <v>2</v>
      </c>
      <c r="D47" s="90"/>
      <c r="E47" s="390" t="e">
        <f t="shared" si="7"/>
        <v>#N/A</v>
      </c>
      <c r="F47" s="390" t="e">
        <f>IF(ISNUMBER(D46),AVERAGE($E$6:E46),NA())</f>
        <v>#N/A</v>
      </c>
      <c r="G47" s="392">
        <f t="shared" si="8"/>
      </c>
      <c r="H47" s="390">
        <f t="shared" si="9"/>
      </c>
    </row>
    <row r="48" spans="2:8" ht="12.75">
      <c r="B48" s="91">
        <f t="shared" si="5"/>
        <v>11</v>
      </c>
      <c r="C48" s="91">
        <f t="shared" si="6"/>
        <v>3</v>
      </c>
      <c r="D48" s="90"/>
      <c r="E48" s="390" t="e">
        <f t="shared" si="7"/>
        <v>#N/A</v>
      </c>
      <c r="F48" s="390" t="e">
        <f>IF(ISNUMBER(D47),AVERAGE($E$6:E47),NA())</f>
        <v>#N/A</v>
      </c>
      <c r="G48" s="392">
        <f t="shared" si="8"/>
      </c>
      <c r="H48" s="390">
        <f t="shared" si="9"/>
      </c>
    </row>
    <row r="49" spans="2:8" ht="12.75">
      <c r="B49" s="91">
        <f t="shared" si="5"/>
        <v>11</v>
      </c>
      <c r="C49" s="91">
        <f t="shared" si="6"/>
        <v>4</v>
      </c>
      <c r="D49" s="90"/>
      <c r="E49" s="390" t="e">
        <f t="shared" si="7"/>
        <v>#N/A</v>
      </c>
      <c r="F49" s="390" t="e">
        <f>IF(ISNUMBER(D48),AVERAGE($E$6:E48),NA())</f>
        <v>#N/A</v>
      </c>
      <c r="G49" s="392">
        <f t="shared" si="8"/>
      </c>
      <c r="H49" s="390">
        <f t="shared" si="9"/>
      </c>
    </row>
    <row r="50" spans="2:8" ht="12.75">
      <c r="B50" s="91">
        <f t="shared" si="5"/>
        <v>12</v>
      </c>
      <c r="C50" s="91">
        <f t="shared" si="6"/>
        <v>1</v>
      </c>
      <c r="D50" s="90"/>
      <c r="E50" s="390" t="e">
        <f t="shared" si="7"/>
        <v>#N/A</v>
      </c>
      <c r="F50" s="390" t="e">
        <f>IF(ISNUMBER(D49),AVERAGE($E$6:E49),NA())</f>
        <v>#N/A</v>
      </c>
      <c r="G50" s="392">
        <f t="shared" si="8"/>
      </c>
      <c r="H50" s="390">
        <f t="shared" si="9"/>
      </c>
    </row>
    <row r="51" spans="2:8" ht="12.75">
      <c r="B51" s="91">
        <f t="shared" si="5"/>
        <v>12</v>
      </c>
      <c r="C51" s="91">
        <f t="shared" si="6"/>
        <v>2</v>
      </c>
      <c r="D51" s="90"/>
      <c r="E51" s="390" t="e">
        <f t="shared" si="7"/>
        <v>#N/A</v>
      </c>
      <c r="F51" s="390" t="e">
        <f>IF(ISNUMBER(D50),AVERAGE($E$6:E50),NA())</f>
        <v>#N/A</v>
      </c>
      <c r="G51" s="392">
        <f t="shared" si="8"/>
      </c>
      <c r="H51" s="390">
        <f t="shared" si="9"/>
      </c>
    </row>
    <row r="52" spans="2:8" ht="12.75">
      <c r="B52" s="91">
        <f t="shared" si="5"/>
        <v>12</v>
      </c>
      <c r="C52" s="91">
        <f t="shared" si="6"/>
        <v>3</v>
      </c>
      <c r="D52" s="90"/>
      <c r="E52" s="390" t="e">
        <f t="shared" si="7"/>
        <v>#N/A</v>
      </c>
      <c r="F52" s="390" t="e">
        <f>IF(ISNUMBER(D51),AVERAGE($E$6:E51),NA())</f>
        <v>#N/A</v>
      </c>
      <c r="G52" s="392">
        <f t="shared" si="8"/>
      </c>
      <c r="H52" s="390">
        <f t="shared" si="9"/>
      </c>
    </row>
    <row r="53" spans="2:8" ht="12.75">
      <c r="B53" s="91">
        <f t="shared" si="5"/>
        <v>12</v>
      </c>
      <c r="C53" s="91">
        <f t="shared" si="6"/>
        <v>4</v>
      </c>
      <c r="D53" s="90"/>
      <c r="E53" s="390" t="e">
        <f t="shared" si="7"/>
        <v>#N/A</v>
      </c>
      <c r="F53" s="390" t="e">
        <f>IF(ISNUMBER(D52),AVERAGE($E$6:E52),NA())</f>
        <v>#N/A</v>
      </c>
      <c r="G53" s="392">
        <f t="shared" si="8"/>
      </c>
      <c r="H53" s="390">
        <f t="shared" si="9"/>
      </c>
    </row>
    <row r="54" spans="2:8" ht="12.75">
      <c r="B54" s="91">
        <f t="shared" si="5"/>
        <v>13</v>
      </c>
      <c r="C54" s="91">
        <f t="shared" si="6"/>
        <v>1</v>
      </c>
      <c r="D54" s="90"/>
      <c r="E54" s="390" t="e">
        <f t="shared" si="7"/>
        <v>#N/A</v>
      </c>
      <c r="F54" s="390" t="e">
        <f>IF(ISNUMBER(D53),AVERAGE($E$6:E53),NA())</f>
        <v>#N/A</v>
      </c>
      <c r="G54" s="392">
        <f t="shared" si="8"/>
      </c>
      <c r="H54" s="390">
        <f t="shared" si="9"/>
      </c>
    </row>
    <row r="55" spans="2:8" ht="12.75">
      <c r="B55" s="91">
        <f t="shared" si="5"/>
        <v>13</v>
      </c>
      <c r="C55" s="91">
        <f t="shared" si="6"/>
        <v>2</v>
      </c>
      <c r="D55" s="90"/>
      <c r="E55" s="390" t="e">
        <f t="shared" si="7"/>
        <v>#N/A</v>
      </c>
      <c r="F55" s="390" t="e">
        <f>IF(ISNUMBER(D54),AVERAGE($E$6:E54),NA())</f>
        <v>#N/A</v>
      </c>
      <c r="G55" s="392">
        <f t="shared" si="8"/>
      </c>
      <c r="H55" s="390">
        <f t="shared" si="9"/>
      </c>
    </row>
    <row r="56" spans="2:8" ht="12.75">
      <c r="B56" s="91">
        <f t="shared" si="5"/>
        <v>13</v>
      </c>
      <c r="C56" s="91">
        <f t="shared" si="6"/>
        <v>3</v>
      </c>
      <c r="D56" s="90"/>
      <c r="E56" s="390" t="e">
        <f t="shared" si="7"/>
        <v>#N/A</v>
      </c>
      <c r="F56" s="390" t="e">
        <f>IF(ISNUMBER(D55),AVERAGE($E$6:E55),NA())</f>
        <v>#N/A</v>
      </c>
      <c r="G56" s="392">
        <f t="shared" si="8"/>
      </c>
      <c r="H56" s="390">
        <f t="shared" si="9"/>
      </c>
    </row>
    <row r="57" spans="2:8" ht="12.75">
      <c r="B57" s="91">
        <f t="shared" si="5"/>
        <v>13</v>
      </c>
      <c r="C57" s="91">
        <f t="shared" si="6"/>
        <v>4</v>
      </c>
      <c r="D57" s="90"/>
      <c r="E57" s="390" t="e">
        <f t="shared" si="7"/>
        <v>#N/A</v>
      </c>
      <c r="F57" s="390" t="e">
        <f>IF(ISNUMBER(D56),AVERAGE($E$6:E56),NA())</f>
        <v>#N/A</v>
      </c>
      <c r="G57" s="392">
        <f t="shared" si="8"/>
      </c>
      <c r="H57" s="390">
        <f t="shared" si="9"/>
      </c>
    </row>
    <row r="58" spans="2:8" ht="12.75">
      <c r="B58" s="91">
        <f t="shared" si="5"/>
        <v>14</v>
      </c>
      <c r="C58" s="91">
        <f t="shared" si="6"/>
        <v>1</v>
      </c>
      <c r="D58" s="90"/>
      <c r="E58" s="390" t="e">
        <f t="shared" si="7"/>
        <v>#N/A</v>
      </c>
      <c r="F58" s="390" t="e">
        <f>IF(ISNUMBER(D57),AVERAGE($E$6:E57),NA())</f>
        <v>#N/A</v>
      </c>
      <c r="G58" s="392">
        <f t="shared" si="8"/>
      </c>
      <c r="H58" s="390">
        <f t="shared" si="9"/>
      </c>
    </row>
    <row r="59" spans="2:8" ht="12.75">
      <c r="B59" s="91">
        <f t="shared" si="5"/>
        <v>14</v>
      </c>
      <c r="C59" s="91">
        <f t="shared" si="6"/>
        <v>2</v>
      </c>
      <c r="D59" s="90"/>
      <c r="E59" s="390" t="e">
        <f t="shared" si="7"/>
        <v>#N/A</v>
      </c>
      <c r="F59" s="390" t="e">
        <f>IF(ISNUMBER(D58),AVERAGE($E$6:E58),NA())</f>
        <v>#N/A</v>
      </c>
      <c r="G59" s="392">
        <f t="shared" si="8"/>
      </c>
      <c r="H59" s="390">
        <f t="shared" si="9"/>
      </c>
    </row>
    <row r="60" spans="2:8" ht="12.75">
      <c r="B60" s="91">
        <f t="shared" si="5"/>
        <v>14</v>
      </c>
      <c r="C60" s="91">
        <f t="shared" si="6"/>
        <v>3</v>
      </c>
      <c r="D60" s="90"/>
      <c r="E60" s="390" t="e">
        <f t="shared" si="7"/>
        <v>#N/A</v>
      </c>
      <c r="F60" s="390" t="e">
        <f>IF(ISNUMBER(D59),AVERAGE($E$6:E59),NA())</f>
        <v>#N/A</v>
      </c>
      <c r="G60" s="392">
        <f t="shared" si="8"/>
      </c>
      <c r="H60" s="390">
        <f t="shared" si="9"/>
      </c>
    </row>
    <row r="61" spans="2:8" ht="12.75">
      <c r="B61" s="91">
        <f t="shared" si="5"/>
        <v>14</v>
      </c>
      <c r="C61" s="91">
        <f t="shared" si="6"/>
        <v>4</v>
      </c>
      <c r="D61" s="90"/>
      <c r="E61" s="390" t="e">
        <f t="shared" si="7"/>
        <v>#N/A</v>
      </c>
      <c r="F61" s="390" t="e">
        <f>IF(ISNUMBER(D60),AVERAGE($E$6:E60),NA())</f>
        <v>#N/A</v>
      </c>
      <c r="G61" s="392">
        <f t="shared" si="8"/>
      </c>
      <c r="H61" s="390">
        <f t="shared" si="9"/>
      </c>
    </row>
    <row r="62" spans="2:8" ht="12.75">
      <c r="B62" s="91">
        <f t="shared" si="5"/>
        <v>15</v>
      </c>
      <c r="C62" s="91">
        <f t="shared" si="6"/>
        <v>1</v>
      </c>
      <c r="D62" s="90"/>
      <c r="E62" s="390" t="e">
        <f t="shared" si="7"/>
        <v>#N/A</v>
      </c>
      <c r="F62" s="390" t="e">
        <f>IF(ISNUMBER(D61),AVERAGE($E$6:E61),NA())</f>
        <v>#N/A</v>
      </c>
      <c r="G62" s="392">
        <f t="shared" si="8"/>
      </c>
      <c r="H62" s="390">
        <f t="shared" si="9"/>
      </c>
    </row>
    <row r="63" spans="2:8" ht="12.75">
      <c r="B63" s="91">
        <f t="shared" si="5"/>
        <v>15</v>
      </c>
      <c r="C63" s="91">
        <f t="shared" si="6"/>
        <v>2</v>
      </c>
      <c r="D63" s="90"/>
      <c r="E63" s="390" t="e">
        <f t="shared" si="7"/>
        <v>#N/A</v>
      </c>
      <c r="F63" s="390" t="e">
        <f>IF(ISNUMBER(D62),AVERAGE($E$6:E62),NA())</f>
        <v>#N/A</v>
      </c>
      <c r="G63" s="392">
        <f t="shared" si="8"/>
      </c>
      <c r="H63" s="390">
        <f t="shared" si="9"/>
      </c>
    </row>
    <row r="64" spans="2:8" ht="12.75">
      <c r="B64" s="91">
        <f t="shared" si="5"/>
        <v>15</v>
      </c>
      <c r="C64" s="91">
        <f t="shared" si="6"/>
        <v>3</v>
      </c>
      <c r="D64" s="90"/>
      <c r="E64" s="390" t="e">
        <f t="shared" si="7"/>
        <v>#N/A</v>
      </c>
      <c r="F64" s="390" t="e">
        <f>IF(ISNUMBER(D63),AVERAGE($E$6:E63),NA())</f>
        <v>#N/A</v>
      </c>
      <c r="G64" s="392">
        <f t="shared" si="8"/>
      </c>
      <c r="H64" s="390">
        <f t="shared" si="9"/>
      </c>
    </row>
    <row r="65" spans="2:8" ht="12.75">
      <c r="B65" s="91">
        <f t="shared" si="5"/>
        <v>15</v>
      </c>
      <c r="C65" s="91">
        <f t="shared" si="6"/>
        <v>4</v>
      </c>
      <c r="D65" s="90"/>
      <c r="E65" s="390" t="e">
        <f t="shared" si="7"/>
        <v>#N/A</v>
      </c>
      <c r="F65" s="390" t="e">
        <f>IF(ISNUMBER(D64),AVERAGE($E$6:E64),NA())</f>
        <v>#N/A</v>
      </c>
      <c r="G65" s="392">
        <f t="shared" si="8"/>
      </c>
      <c r="H65" s="390">
        <f t="shared" si="9"/>
      </c>
    </row>
    <row r="66" spans="2:8" ht="12.75">
      <c r="B66" s="91">
        <f t="shared" si="5"/>
        <v>16</v>
      </c>
      <c r="C66" s="91">
        <f t="shared" si="6"/>
        <v>1</v>
      </c>
      <c r="D66" s="90"/>
      <c r="E66" s="390" t="e">
        <f t="shared" si="7"/>
        <v>#N/A</v>
      </c>
      <c r="F66" s="390" t="e">
        <f>IF(ISNUMBER(D65),AVERAGE($E$6:E65),NA())</f>
        <v>#N/A</v>
      </c>
      <c r="G66" s="392">
        <f t="shared" si="8"/>
      </c>
      <c r="H66" s="390">
        <f t="shared" si="9"/>
      </c>
    </row>
    <row r="67" spans="2:8" ht="12.75">
      <c r="B67" s="91">
        <f t="shared" si="5"/>
        <v>16</v>
      </c>
      <c r="C67" s="91">
        <f t="shared" si="6"/>
        <v>2</v>
      </c>
      <c r="D67" s="90"/>
      <c r="E67" s="390" t="e">
        <f t="shared" si="7"/>
        <v>#N/A</v>
      </c>
      <c r="F67" s="390" t="e">
        <f>IF(ISNUMBER(D66),AVERAGE($E$6:E66),NA())</f>
        <v>#N/A</v>
      </c>
      <c r="G67" s="392">
        <f t="shared" si="8"/>
      </c>
      <c r="H67" s="390">
        <f t="shared" si="9"/>
      </c>
    </row>
    <row r="68" spans="2:8" ht="12.75">
      <c r="B68" s="91">
        <f t="shared" si="5"/>
        <v>16</v>
      </c>
      <c r="C68" s="91">
        <f t="shared" si="6"/>
        <v>3</v>
      </c>
      <c r="D68" s="90"/>
      <c r="E68" s="390" t="e">
        <f t="shared" si="7"/>
        <v>#N/A</v>
      </c>
      <c r="F68" s="390" t="e">
        <f>IF(ISNUMBER(D67),AVERAGE($E$6:E67),NA())</f>
        <v>#N/A</v>
      </c>
      <c r="G68" s="392">
        <f t="shared" si="8"/>
      </c>
      <c r="H68" s="390">
        <f t="shared" si="9"/>
      </c>
    </row>
    <row r="69" spans="2:8" ht="12.75">
      <c r="B69" s="91">
        <f t="shared" si="5"/>
        <v>16</v>
      </c>
      <c r="C69" s="91">
        <f t="shared" si="6"/>
        <v>4</v>
      </c>
      <c r="D69" s="90"/>
      <c r="E69" s="390" t="e">
        <f t="shared" si="7"/>
        <v>#N/A</v>
      </c>
      <c r="F69" s="390" t="e">
        <f>IF(ISNUMBER(D68),AVERAGE($E$6:E68),NA())</f>
        <v>#N/A</v>
      </c>
      <c r="G69" s="392">
        <f t="shared" si="8"/>
      </c>
      <c r="H69" s="390">
        <f t="shared" si="9"/>
      </c>
    </row>
    <row r="70" spans="2:8" ht="12.75">
      <c r="B70" s="91">
        <f aca="true" t="shared" si="10" ref="B70:B75">IF(TypeOfSeasonality="Quarterly",TRUNC((ROW(B70)-2)/4),IF(TypeOfSeasonality="Monthly",TRUNC((ROW(B70)+6)/12),TRUNC((ROW(B70)-1)/5)))</f>
        <v>17</v>
      </c>
      <c r="C70" s="91">
        <f aca="true" t="shared" si="11" ref="C70:C75">IF(TypeOfSeasonality="Quarterly",INDEX($J$9:$J$12,MOD(ROW(B70)+2,4)+1,1),IF(TypeOfSeasonality="Monthly",INDEX($J$9:$J$20,MOD(ROW(B70)-6,12)+1,1),INDEX($J$9:$J$13,MOD(ROW(B70)-1,5)+1,1)))</f>
        <v>1</v>
      </c>
      <c r="D70" s="90"/>
      <c r="E70" s="390" t="e">
        <f aca="true" t="shared" si="12" ref="E70:E75">IF(ISNUMBER(TrueValue),TrueValue/VLOOKUP(C70,$J$9:$K$20,2,FALSE),NA())</f>
        <v>#N/A</v>
      </c>
      <c r="F70" s="390" t="e">
        <f>IF(ISNUMBER(D69),AVERAGE($E$6:E69),NA())</f>
        <v>#N/A</v>
      </c>
      <c r="G70" s="392">
        <f t="shared" si="8"/>
      </c>
      <c r="H70" s="390">
        <f t="shared" si="9"/>
      </c>
    </row>
    <row r="71" spans="2:8" ht="12.75">
      <c r="B71" s="91">
        <f t="shared" si="10"/>
        <v>17</v>
      </c>
      <c r="C71" s="91">
        <f t="shared" si="11"/>
        <v>2</v>
      </c>
      <c r="D71" s="90"/>
      <c r="E71" s="390" t="e">
        <f t="shared" si="12"/>
        <v>#N/A</v>
      </c>
      <c r="F71" s="390" t="e">
        <f>IF(ISNUMBER(D70),AVERAGE($E$6:E70),NA())</f>
        <v>#N/A</v>
      </c>
      <c r="G71" s="392">
        <f t="shared" si="8"/>
      </c>
      <c r="H71" s="390">
        <f t="shared" si="9"/>
      </c>
    </row>
    <row r="72" spans="2:8" ht="12.75">
      <c r="B72" s="91">
        <f t="shared" si="10"/>
        <v>17</v>
      </c>
      <c r="C72" s="91">
        <f t="shared" si="11"/>
        <v>3</v>
      </c>
      <c r="D72" s="90"/>
      <c r="E72" s="390" t="e">
        <f t="shared" si="12"/>
        <v>#N/A</v>
      </c>
      <c r="F72" s="390" t="e">
        <f>IF(ISNUMBER(D71),AVERAGE($E$6:E71),NA())</f>
        <v>#N/A</v>
      </c>
      <c r="G72" s="392">
        <f t="shared" si="8"/>
      </c>
      <c r="H72" s="390">
        <f t="shared" si="9"/>
      </c>
    </row>
    <row r="73" spans="2:8" ht="12.75">
      <c r="B73" s="91">
        <f t="shared" si="10"/>
        <v>17</v>
      </c>
      <c r="C73" s="91">
        <f t="shared" si="11"/>
        <v>4</v>
      </c>
      <c r="D73" s="90"/>
      <c r="E73" s="390" t="e">
        <f t="shared" si="12"/>
        <v>#N/A</v>
      </c>
      <c r="F73" s="390" t="e">
        <f>IF(ISNUMBER(D72),AVERAGE($E$6:E72),NA())</f>
        <v>#N/A</v>
      </c>
      <c r="G73" s="392">
        <f t="shared" si="8"/>
      </c>
      <c r="H73" s="390">
        <f t="shared" si="9"/>
      </c>
    </row>
    <row r="74" spans="2:8" ht="12.75">
      <c r="B74" s="91">
        <f t="shared" si="10"/>
        <v>18</v>
      </c>
      <c r="C74" s="91">
        <f t="shared" si="11"/>
        <v>1</v>
      </c>
      <c r="D74" s="90"/>
      <c r="E74" s="390" t="e">
        <f t="shared" si="12"/>
        <v>#N/A</v>
      </c>
      <c r="F74" s="390" t="e">
        <f>IF(ISNUMBER(D73),AVERAGE($E$6:E73),NA())</f>
        <v>#N/A</v>
      </c>
      <c r="G74" s="392">
        <f t="shared" si="8"/>
      </c>
      <c r="H74" s="390">
        <f t="shared" si="9"/>
      </c>
    </row>
    <row r="75" spans="2:8" ht="13.5" thickBot="1">
      <c r="B75" s="91">
        <f t="shared" si="10"/>
        <v>18</v>
      </c>
      <c r="C75" s="91">
        <f t="shared" si="11"/>
        <v>2</v>
      </c>
      <c r="D75" s="90"/>
      <c r="E75" s="390" t="e">
        <f t="shared" si="12"/>
        <v>#N/A</v>
      </c>
      <c r="F75" s="390" t="e">
        <f>IF(ISNUMBER(D74),AVERAGE($E$6:E74),NA())</f>
        <v>#N/A</v>
      </c>
      <c r="G75" s="398">
        <f t="shared" si="8"/>
      </c>
      <c r="H75" s="390">
        <f t="shared" si="9"/>
      </c>
    </row>
    <row r="76" spans="2:8" ht="12.75">
      <c r="B76" s="91"/>
      <c r="C76" s="91"/>
      <c r="D76" s="91"/>
      <c r="E76" s="91"/>
      <c r="F76" s="91"/>
      <c r="G76" s="91"/>
      <c r="H76" s="91"/>
    </row>
  </sheetData>
  <conditionalFormatting sqref="F7:F75">
    <cfRule type="expression" priority="1" dxfId="3" stopIfTrue="1">
      <formula>NOT(ISNUMBER(D6))</formula>
    </cfRule>
  </conditionalFormatting>
  <conditionalFormatting sqref="E6:E75">
    <cfRule type="expression" priority="2" dxfId="3" stopIfTrue="1">
      <formula>NOT(ISNUMBER(D6))</formula>
    </cfRule>
  </conditionalFormatting>
  <conditionalFormatting sqref="K13">
    <cfRule type="expression" priority="3" dxfId="4" stopIfTrue="1">
      <formula>(TypeOfSeasonality="Quarterly")</formula>
    </cfRule>
  </conditionalFormatting>
  <conditionalFormatting sqref="K14:K20">
    <cfRule type="expression" priority="4" dxfId="4" stopIfTrue="1">
      <formula>(TypeOfSeasonality&lt;&gt;"Monthly")</formula>
    </cfRule>
  </conditionalFormatting>
  <dataValidations count="1">
    <dataValidation type="list" allowBlank="1" showInputMessage="1" showErrorMessage="1" sqref="K6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0" customWidth="1"/>
    <col min="2" max="2" width="5.75390625" style="30" bestFit="1" customWidth="1"/>
    <col min="3" max="3" width="8.875" style="30" customWidth="1"/>
    <col min="4" max="4" width="8.75390625" style="30" customWidth="1"/>
    <col min="5" max="6" width="11.75390625" style="30" customWidth="1"/>
    <col min="7" max="7" width="10.00390625" style="30" customWidth="1"/>
    <col min="8" max="8" width="12.75390625" style="30" customWidth="1"/>
    <col min="9" max="9" width="4.25390625" style="30" customWidth="1"/>
    <col min="10" max="10" width="9.25390625" style="30" customWidth="1"/>
    <col min="11" max="11" width="20.00390625" style="30" customWidth="1"/>
    <col min="12" max="12" width="5.875" style="30" customWidth="1"/>
    <col min="13" max="13" width="26.875" style="30" bestFit="1" customWidth="1"/>
    <col min="14" max="14" width="9.00390625" style="30" bestFit="1" customWidth="1"/>
    <col min="15" max="16384" width="10.875" style="30" customWidth="1"/>
  </cols>
  <sheetData>
    <row r="1" ht="18">
      <c r="A1" s="28" t="s">
        <v>119</v>
      </c>
    </row>
    <row r="2" ht="13.5" thickBot="1"/>
    <row r="3" spans="5:14" ht="13.5" thickBot="1">
      <c r="E3" s="87" t="s">
        <v>104</v>
      </c>
      <c r="F3" s="87" t="s">
        <v>104</v>
      </c>
      <c r="M3" s="388" t="s">
        <v>501</v>
      </c>
      <c r="N3" s="389" t="s">
        <v>502</v>
      </c>
    </row>
    <row r="4" spans="2:14" ht="12.75">
      <c r="B4" s="87"/>
      <c r="C4" s="87"/>
      <c r="D4" s="87" t="s">
        <v>93</v>
      </c>
      <c r="E4" s="87" t="s">
        <v>105</v>
      </c>
      <c r="F4" s="87" t="s">
        <v>105</v>
      </c>
      <c r="G4" s="87" t="s">
        <v>360</v>
      </c>
      <c r="H4" s="87" t="s">
        <v>28</v>
      </c>
      <c r="J4" s="29" t="s">
        <v>50</v>
      </c>
      <c r="M4" s="376" t="s">
        <v>106</v>
      </c>
      <c r="N4" s="377" t="s">
        <v>107</v>
      </c>
    </row>
    <row r="5" spans="2:14" ht="13.5" thickBot="1">
      <c r="B5" s="87" t="str">
        <f>IF(TypeOfSeasonality="Daily","Week","Year")</f>
        <v>Year</v>
      </c>
      <c r="C5" s="87" t="str">
        <f>IF(TypeOfSeasonality="Quarterly","Quarter",IF(TypeOfSeasonality="Monthly","Month","Day"))</f>
        <v>Quarter</v>
      </c>
      <c r="D5" s="87" t="s">
        <v>433</v>
      </c>
      <c r="E5" s="87" t="s">
        <v>433</v>
      </c>
      <c r="F5" s="87" t="s">
        <v>30</v>
      </c>
      <c r="G5" s="87" t="s">
        <v>30</v>
      </c>
      <c r="H5" s="87" t="s">
        <v>31</v>
      </c>
      <c r="J5" s="29" t="s">
        <v>51</v>
      </c>
      <c r="M5" s="376" t="s">
        <v>35</v>
      </c>
      <c r="N5" s="377" t="s">
        <v>108</v>
      </c>
    </row>
    <row r="6" spans="2:14" ht="12.75">
      <c r="B6" s="91">
        <f aca="true" t="shared" si="0" ref="B6:B37">IF(TypeOfSeasonality="Quarterly",TRUNC((ROW(B6)-2)/4),IF(TypeOfSeasonality="Monthly",TRUNC((ROW(B6)+6)/12),TRUNC((ROW(B6)-1)/5)))</f>
        <v>1</v>
      </c>
      <c r="C6" s="91">
        <f aca="true" t="shared" si="1" ref="C6:C37">IF(TypeOfSeasonality="Quarterly",INDEX($J$12:$J$15,MOD(ROW(B6)+2,4)+1,1),IF(TypeOfSeasonality="Monthly",INDEX($J$12:$J$23,MOD(ROW(B6)-6,12)+1,1),INDEX($J$12:$J$16,MOD(ROW(B6)-1,5)+1,1)))</f>
        <v>1</v>
      </c>
      <c r="D6" s="344">
        <v>242</v>
      </c>
      <c r="E6" s="390">
        <f aca="true" t="shared" si="2" ref="E6:E37">IF(ISNUMBER(TrueValue),TrueValue/VLOOKUP(C6,$J$12:$K$23,2,FALSE),NA())</f>
        <v>275.626423690205</v>
      </c>
      <c r="F6" s="390"/>
      <c r="G6" s="391"/>
      <c r="H6" s="390"/>
      <c r="J6" s="396" t="s">
        <v>120</v>
      </c>
      <c r="K6" s="401">
        <v>4</v>
      </c>
      <c r="M6" s="376" t="s">
        <v>37</v>
      </c>
      <c r="N6" s="377" t="s">
        <v>110</v>
      </c>
    </row>
    <row r="7" spans="2:14" ht="12.75">
      <c r="B7" s="91">
        <f t="shared" si="0"/>
        <v>1</v>
      </c>
      <c r="C7" s="91">
        <f t="shared" si="1"/>
        <v>2</v>
      </c>
      <c r="D7" s="344">
        <v>282</v>
      </c>
      <c r="E7" s="390">
        <f t="shared" si="2"/>
        <v>286.35255889520715</v>
      </c>
      <c r="F7" s="390" t="e">
        <f aca="true" ca="1" t="shared" si="3" ref="F7:F38">IF(AND(ISNUMBER(D6),ROW(F7)-6&gt;=NumberOfPeriods),AVERAGE(OFFSET(F7,-NumberOfPeriods,-1,NumberOfPeriods,1)),NA())</f>
        <v>#N/A</v>
      </c>
      <c r="G7" s="392">
        <f aca="true" t="shared" si="4" ref="G7:G38">IF(ISNUMBER(SeasonallyAdjustedForecast),SeasonallyAdjustedForecast*VLOOKUP(C7,$J$12:$K$23,2,FALSE),"")</f>
      </c>
      <c r="H7" s="390">
        <f aca="true" t="shared" si="5" ref="H7:H38">IF(AND(ISNUMBER(TrueValue),ISNUMBER(ActualForecast)),ABS(TrueValue-ActualForecast),"")</f>
      </c>
      <c r="M7" s="376" t="s">
        <v>40</v>
      </c>
      <c r="N7" s="377" t="s">
        <v>121</v>
      </c>
    </row>
    <row r="8" spans="2:14" ht="12.75">
      <c r="B8" s="91">
        <f t="shared" si="0"/>
        <v>1</v>
      </c>
      <c r="C8" s="91">
        <f t="shared" si="1"/>
        <v>3</v>
      </c>
      <c r="D8" s="344">
        <v>254</v>
      </c>
      <c r="E8" s="390">
        <f t="shared" si="2"/>
        <v>281.19118786671095</v>
      </c>
      <c r="F8" s="390" t="e">
        <f ca="1" t="shared" si="3"/>
        <v>#N/A</v>
      </c>
      <c r="G8" s="392">
        <f t="shared" si="4"/>
      </c>
      <c r="H8" s="390">
        <f t="shared" si="5"/>
      </c>
      <c r="K8" s="87" t="s">
        <v>94</v>
      </c>
      <c r="M8" s="376" t="s">
        <v>57</v>
      </c>
      <c r="N8" s="377" t="s">
        <v>117</v>
      </c>
    </row>
    <row r="9" spans="2:14" ht="12.75">
      <c r="B9" s="91">
        <f t="shared" si="0"/>
        <v>1</v>
      </c>
      <c r="C9" s="91">
        <f t="shared" si="1"/>
        <v>4</v>
      </c>
      <c r="D9" s="344">
        <v>345</v>
      </c>
      <c r="E9" s="390">
        <f t="shared" si="2"/>
        <v>279.6012642839776</v>
      </c>
      <c r="F9" s="390" t="e">
        <f ca="1" t="shared" si="3"/>
        <v>#N/A</v>
      </c>
      <c r="G9" s="392">
        <f t="shared" si="4"/>
      </c>
      <c r="H9" s="390">
        <f t="shared" si="5"/>
      </c>
      <c r="K9" s="90" t="s">
        <v>97</v>
      </c>
      <c r="M9" s="376" t="s">
        <v>95</v>
      </c>
      <c r="N9" s="377" t="s">
        <v>122</v>
      </c>
    </row>
    <row r="10" spans="2:14" ht="12.75">
      <c r="B10" s="91">
        <f t="shared" si="0"/>
        <v>2</v>
      </c>
      <c r="C10" s="91">
        <f t="shared" si="1"/>
        <v>1</v>
      </c>
      <c r="D10" s="344">
        <v>253</v>
      </c>
      <c r="E10" s="390">
        <f t="shared" si="2"/>
        <v>288.15489749430526</v>
      </c>
      <c r="F10" s="390">
        <f ca="1" t="shared" si="3"/>
        <v>280.69285868402517</v>
      </c>
      <c r="G10" s="392">
        <f t="shared" si="4"/>
        <v>246.4483299245741</v>
      </c>
      <c r="H10" s="390">
        <f t="shared" si="5"/>
        <v>6.551670075425903</v>
      </c>
      <c r="M10" s="376" t="s">
        <v>112</v>
      </c>
      <c r="N10" s="377" t="s">
        <v>113</v>
      </c>
    </row>
    <row r="11" spans="2:14" ht="12.75">
      <c r="B11" s="91">
        <f t="shared" si="0"/>
        <v>2</v>
      </c>
      <c r="C11" s="91">
        <f t="shared" si="1"/>
        <v>2</v>
      </c>
      <c r="D11" s="344">
        <v>290</v>
      </c>
      <c r="E11" s="390">
        <f t="shared" si="2"/>
        <v>294.47603574329816</v>
      </c>
      <c r="F11" s="390">
        <f ca="1" t="shared" si="3"/>
        <v>283.82497713505023</v>
      </c>
      <c r="G11" s="392">
        <f t="shared" si="4"/>
        <v>279.5108374825975</v>
      </c>
      <c r="H11" s="390">
        <f t="shared" si="5"/>
        <v>10.48916251740252</v>
      </c>
      <c r="J11" s="87" t="str">
        <f>IF(TypeOfSeasonality="Quarterly","Quarter",IF(TypeOfSeasonality="Monthly","Month","Day"))</f>
        <v>Quarter</v>
      </c>
      <c r="K11" s="87" t="s">
        <v>102</v>
      </c>
      <c r="M11" s="376" t="s">
        <v>114</v>
      </c>
      <c r="N11" s="377" t="s">
        <v>115</v>
      </c>
    </row>
    <row r="12" spans="2:14" ht="12.75">
      <c r="B12" s="91">
        <f t="shared" si="0"/>
        <v>2</v>
      </c>
      <c r="C12" s="91">
        <f t="shared" si="1"/>
        <v>3</v>
      </c>
      <c r="D12" s="344">
        <v>262</v>
      </c>
      <c r="E12" s="390">
        <f t="shared" si="2"/>
        <v>290.0476032325916</v>
      </c>
      <c r="F12" s="390">
        <f ca="1" t="shared" si="3"/>
        <v>285.855846347073</v>
      </c>
      <c r="G12" s="392">
        <f t="shared" si="4"/>
        <v>258.213586005311</v>
      </c>
      <c r="H12" s="390">
        <f t="shared" si="5"/>
        <v>3.786413994688985</v>
      </c>
      <c r="J12" s="91">
        <f>IF(TypeOfSeasonality="Quarterly",1,IF(TypeOfSeasonality="Monthly","Jan","Mon"))</f>
        <v>1</v>
      </c>
      <c r="K12" s="402">
        <v>0.878</v>
      </c>
      <c r="M12" s="376" t="s">
        <v>43</v>
      </c>
      <c r="N12" s="377" t="s">
        <v>116</v>
      </c>
    </row>
    <row r="13" spans="2:14" ht="13.5" thickBot="1">
      <c r="B13" s="91">
        <f t="shared" si="0"/>
        <v>2</v>
      </c>
      <c r="C13" s="91">
        <f t="shared" si="1"/>
        <v>4</v>
      </c>
      <c r="D13" s="344">
        <v>352</v>
      </c>
      <c r="E13" s="390">
        <f t="shared" si="2"/>
        <v>285.27433341437717</v>
      </c>
      <c r="F13" s="390">
        <f ca="1" t="shared" si="3"/>
        <v>288.06995018854315</v>
      </c>
      <c r="G13" s="392">
        <f t="shared" si="4"/>
        <v>355.4495115376434</v>
      </c>
      <c r="H13" s="390">
        <f t="shared" si="5"/>
        <v>3.4495115376433887</v>
      </c>
      <c r="J13" s="91">
        <f>IF(TypeOfSeasonality="Quarterly",2,IF(TypeOfSeasonality="Monthly","Feb","Tue"))</f>
        <v>2</v>
      </c>
      <c r="K13" s="402">
        <v>0.9848</v>
      </c>
      <c r="M13" s="380" t="s">
        <v>99</v>
      </c>
      <c r="N13" s="381" t="s">
        <v>123</v>
      </c>
    </row>
    <row r="14" spans="2:11" ht="12.75">
      <c r="B14" s="91">
        <f t="shared" si="0"/>
        <v>3</v>
      </c>
      <c r="C14" s="91">
        <f t="shared" si="1"/>
        <v>1</v>
      </c>
      <c r="D14" s="344">
        <v>270</v>
      </c>
      <c r="E14" s="390">
        <f t="shared" si="2"/>
        <v>307.51708428246013</v>
      </c>
      <c r="F14" s="390">
        <f ca="1" t="shared" si="3"/>
        <v>289.48821747114306</v>
      </c>
      <c r="G14" s="392">
        <f t="shared" si="4"/>
        <v>254.17065493966362</v>
      </c>
      <c r="H14" s="390">
        <f t="shared" si="5"/>
        <v>15.82934506033638</v>
      </c>
      <c r="J14" s="91">
        <f>IF(TypeOfSeasonality="Quarterly",3,IF(TypeOfSeasonality="Monthly","Mar","Wed"))</f>
        <v>3</v>
      </c>
      <c r="K14" s="402">
        <v>0.9033</v>
      </c>
    </row>
    <row r="15" spans="2:11" ht="12.75">
      <c r="B15" s="91">
        <f t="shared" si="0"/>
        <v>3</v>
      </c>
      <c r="C15" s="91">
        <f t="shared" si="1"/>
        <v>2</v>
      </c>
      <c r="D15" s="344">
        <v>286</v>
      </c>
      <c r="E15" s="390">
        <f t="shared" si="2"/>
        <v>290.4142973192526</v>
      </c>
      <c r="F15" s="390">
        <f ca="1" t="shared" si="3"/>
        <v>294.3287641681818</v>
      </c>
      <c r="G15" s="392">
        <f t="shared" si="4"/>
        <v>289.85496695282546</v>
      </c>
      <c r="H15" s="390">
        <f t="shared" si="5"/>
        <v>3.854966952825464</v>
      </c>
      <c r="J15" s="91">
        <f>IF(TypeOfSeasonality="Quarterly",4,IF(TypeOfSeasonality="Monthly","Apr","Thur"))</f>
        <v>4</v>
      </c>
      <c r="K15" s="402">
        <v>1.2339</v>
      </c>
    </row>
    <row r="16" spans="2:11" ht="12.75">
      <c r="B16" s="91">
        <f t="shared" si="0"/>
        <v>3</v>
      </c>
      <c r="C16" s="91">
        <f t="shared" si="1"/>
        <v>3</v>
      </c>
      <c r="D16" s="344">
        <v>271</v>
      </c>
      <c r="E16" s="390">
        <f t="shared" si="2"/>
        <v>300.01107051920735</v>
      </c>
      <c r="F16" s="390">
        <f ca="1" t="shared" si="3"/>
        <v>293.3133295621704</v>
      </c>
      <c r="G16" s="392">
        <f t="shared" si="4"/>
        <v>264.9499305935085</v>
      </c>
      <c r="H16" s="390">
        <f t="shared" si="5"/>
        <v>6.050069406491502</v>
      </c>
      <c r="J16" s="91">
        <f>IF(TypeOfSeasonality="Quarterly","",IF(TypeOfSeasonality="Monthly","May","Fri"))</f>
      </c>
      <c r="K16" s="393">
        <v>1</v>
      </c>
    </row>
    <row r="17" spans="2:11" ht="12.75">
      <c r="B17" s="91">
        <f t="shared" si="0"/>
        <v>3</v>
      </c>
      <c r="C17" s="91">
        <f t="shared" si="1"/>
        <v>4</v>
      </c>
      <c r="D17" s="344">
        <v>378</v>
      </c>
      <c r="E17" s="390">
        <f t="shared" si="2"/>
        <v>306.3457330415755</v>
      </c>
      <c r="F17" s="390">
        <f ca="1" t="shared" si="3"/>
        <v>295.8041963838243</v>
      </c>
      <c r="G17" s="392">
        <f t="shared" si="4"/>
        <v>364.9927979180008</v>
      </c>
      <c r="H17" s="390">
        <f t="shared" si="5"/>
        <v>13.007202081999196</v>
      </c>
      <c r="J17" s="91">
        <f>IF(TypeOfSeasonality="Monthly","June","")</f>
      </c>
      <c r="K17" s="393">
        <v>1</v>
      </c>
    </row>
    <row r="18" spans="2:11" ht="12.75">
      <c r="B18" s="91">
        <f t="shared" si="0"/>
        <v>4</v>
      </c>
      <c r="C18" s="91">
        <f t="shared" si="1"/>
        <v>1</v>
      </c>
      <c r="D18" s="385"/>
      <c r="E18" s="390" t="e">
        <f t="shared" si="2"/>
        <v>#N/A</v>
      </c>
      <c r="F18" s="390">
        <f ca="1" t="shared" si="3"/>
        <v>301.0720462906239</v>
      </c>
      <c r="G18" s="392">
        <f t="shared" si="4"/>
        <v>264.3412566431678</v>
      </c>
      <c r="H18" s="390">
        <f t="shared" si="5"/>
      </c>
      <c r="J18" s="91">
        <f>IF(TypeOfSeasonality="Monthly","July","")</f>
      </c>
      <c r="K18" s="393">
        <v>1</v>
      </c>
    </row>
    <row r="19" spans="2:11" ht="12.75">
      <c r="B19" s="91">
        <f t="shared" si="0"/>
        <v>4</v>
      </c>
      <c r="C19" s="91">
        <f t="shared" si="1"/>
        <v>2</v>
      </c>
      <c r="D19" s="385"/>
      <c r="E19" s="390" t="e">
        <f t="shared" si="2"/>
        <v>#N/A</v>
      </c>
      <c r="F19" s="390" t="e">
        <f ca="1" t="shared" si="3"/>
        <v>#N/A</v>
      </c>
      <c r="G19" s="392">
        <f t="shared" si="4"/>
      </c>
      <c r="H19" s="390">
        <f t="shared" si="5"/>
      </c>
      <c r="J19" s="91">
        <f>IF(TypeOfSeasonality="Monthly","Aug","")</f>
      </c>
      <c r="K19" s="393">
        <v>1</v>
      </c>
    </row>
    <row r="20" spans="2:11" ht="12.75">
      <c r="B20" s="91">
        <f t="shared" si="0"/>
        <v>4</v>
      </c>
      <c r="C20" s="91">
        <f t="shared" si="1"/>
        <v>3</v>
      </c>
      <c r="D20" s="90"/>
      <c r="E20" s="390" t="e">
        <f t="shared" si="2"/>
        <v>#N/A</v>
      </c>
      <c r="F20" s="390" t="e">
        <f ca="1" t="shared" si="3"/>
        <v>#N/A</v>
      </c>
      <c r="G20" s="392">
        <f t="shared" si="4"/>
      </c>
      <c r="H20" s="390">
        <f t="shared" si="5"/>
      </c>
      <c r="J20" s="91">
        <f>IF(TypeOfSeasonality="Monthly","Sep","")</f>
      </c>
      <c r="K20" s="393">
        <v>1</v>
      </c>
    </row>
    <row r="21" spans="2:11" ht="12.75">
      <c r="B21" s="91">
        <f t="shared" si="0"/>
        <v>4</v>
      </c>
      <c r="C21" s="91">
        <f t="shared" si="1"/>
        <v>4</v>
      </c>
      <c r="D21" s="90"/>
      <c r="E21" s="390" t="e">
        <f t="shared" si="2"/>
        <v>#N/A</v>
      </c>
      <c r="F21" s="390" t="e">
        <f ca="1" t="shared" si="3"/>
        <v>#N/A</v>
      </c>
      <c r="G21" s="392">
        <f t="shared" si="4"/>
      </c>
      <c r="H21" s="390">
        <f t="shared" si="5"/>
      </c>
      <c r="J21" s="91">
        <f>IF(TypeOfSeasonality="Monthly","Oct","")</f>
      </c>
      <c r="K21" s="393">
        <v>1</v>
      </c>
    </row>
    <row r="22" spans="2:11" ht="12.75">
      <c r="B22" s="91">
        <f t="shared" si="0"/>
        <v>5</v>
      </c>
      <c r="C22" s="91">
        <f t="shared" si="1"/>
        <v>1</v>
      </c>
      <c r="D22" s="90"/>
      <c r="E22" s="390" t="e">
        <f t="shared" si="2"/>
        <v>#N/A</v>
      </c>
      <c r="F22" s="390" t="e">
        <f ca="1" t="shared" si="3"/>
        <v>#N/A</v>
      </c>
      <c r="G22" s="392">
        <f t="shared" si="4"/>
      </c>
      <c r="H22" s="390">
        <f t="shared" si="5"/>
      </c>
      <c r="J22" s="91">
        <f>IF(TypeOfSeasonality="Monthly","Nov","")</f>
      </c>
      <c r="K22" s="393">
        <v>1</v>
      </c>
    </row>
    <row r="23" spans="2:11" ht="12.75">
      <c r="B23" s="91">
        <f t="shared" si="0"/>
        <v>5</v>
      </c>
      <c r="C23" s="91">
        <f t="shared" si="1"/>
        <v>2</v>
      </c>
      <c r="D23" s="90"/>
      <c r="E23" s="390" t="e">
        <f t="shared" si="2"/>
        <v>#N/A</v>
      </c>
      <c r="F23" s="390" t="e">
        <f ca="1" t="shared" si="3"/>
        <v>#N/A</v>
      </c>
      <c r="G23" s="392">
        <f t="shared" si="4"/>
      </c>
      <c r="H23" s="390">
        <f t="shared" si="5"/>
      </c>
      <c r="J23" s="91">
        <f>IF(TypeOfSeasonality="Monthly","Dec","")</f>
      </c>
      <c r="K23" s="393">
        <v>1</v>
      </c>
    </row>
    <row r="24" spans="2:8" ht="12.75">
      <c r="B24" s="91">
        <f t="shared" si="0"/>
        <v>5</v>
      </c>
      <c r="C24" s="91">
        <f t="shared" si="1"/>
        <v>3</v>
      </c>
      <c r="D24" s="90"/>
      <c r="E24" s="390" t="e">
        <f t="shared" si="2"/>
        <v>#N/A</v>
      </c>
      <c r="F24" s="390" t="e">
        <f ca="1" t="shared" si="3"/>
        <v>#N/A</v>
      </c>
      <c r="G24" s="392">
        <f t="shared" si="4"/>
      </c>
      <c r="H24" s="390">
        <f t="shared" si="5"/>
      </c>
    </row>
    <row r="25" spans="2:10" ht="13.5" thickBot="1">
      <c r="B25" s="91">
        <f t="shared" si="0"/>
        <v>5</v>
      </c>
      <c r="C25" s="91">
        <f t="shared" si="1"/>
        <v>4</v>
      </c>
      <c r="D25" s="90"/>
      <c r="E25" s="390" t="e">
        <f t="shared" si="2"/>
        <v>#N/A</v>
      </c>
      <c r="F25" s="390" t="e">
        <f ca="1" t="shared" si="3"/>
        <v>#N/A</v>
      </c>
      <c r="G25" s="392">
        <f t="shared" si="4"/>
      </c>
      <c r="H25" s="390">
        <f t="shared" si="5"/>
      </c>
      <c r="J25" s="29" t="s">
        <v>32</v>
      </c>
    </row>
    <row r="26" spans="2:11" ht="13.5" thickBot="1">
      <c r="B26" s="91">
        <f t="shared" si="0"/>
        <v>6</v>
      </c>
      <c r="C26" s="91">
        <f t="shared" si="1"/>
        <v>1</v>
      </c>
      <c r="D26" s="90"/>
      <c r="E26" s="390" t="e">
        <f t="shared" si="2"/>
        <v>#N/A</v>
      </c>
      <c r="F26" s="390" t="e">
        <f ca="1" t="shared" si="3"/>
        <v>#N/A</v>
      </c>
      <c r="G26" s="392">
        <f t="shared" si="4"/>
      </c>
      <c r="H26" s="390">
        <f t="shared" si="5"/>
      </c>
      <c r="J26" s="394" t="s">
        <v>34</v>
      </c>
      <c r="K26" s="395">
        <f>AVERAGE(ForecastingError)</f>
        <v>7.877292703351667</v>
      </c>
    </row>
    <row r="27" spans="2:8" ht="12.75">
      <c r="B27" s="91">
        <f t="shared" si="0"/>
        <v>6</v>
      </c>
      <c r="C27" s="91">
        <f t="shared" si="1"/>
        <v>2</v>
      </c>
      <c r="D27" s="90"/>
      <c r="E27" s="390" t="e">
        <f t="shared" si="2"/>
        <v>#N/A</v>
      </c>
      <c r="F27" s="390" t="e">
        <f ca="1" t="shared" si="3"/>
        <v>#N/A</v>
      </c>
      <c r="G27" s="392">
        <f t="shared" si="4"/>
      </c>
      <c r="H27" s="390">
        <f t="shared" si="5"/>
      </c>
    </row>
    <row r="28" spans="2:10" ht="13.5" thickBot="1">
      <c r="B28" s="91">
        <f t="shared" si="0"/>
        <v>6</v>
      </c>
      <c r="C28" s="91">
        <f t="shared" si="1"/>
        <v>3</v>
      </c>
      <c r="D28" s="90"/>
      <c r="E28" s="390" t="e">
        <f t="shared" si="2"/>
        <v>#N/A</v>
      </c>
      <c r="F28" s="390" t="e">
        <f ca="1" t="shared" si="3"/>
        <v>#N/A</v>
      </c>
      <c r="G28" s="392">
        <f t="shared" si="4"/>
      </c>
      <c r="H28" s="390">
        <f t="shared" si="5"/>
      </c>
      <c r="J28" s="29" t="s">
        <v>39</v>
      </c>
    </row>
    <row r="29" spans="2:11" ht="13.5" thickBot="1">
      <c r="B29" s="91">
        <f t="shared" si="0"/>
        <v>6</v>
      </c>
      <c r="C29" s="91">
        <f t="shared" si="1"/>
        <v>4</v>
      </c>
      <c r="D29" s="90"/>
      <c r="E29" s="390" t="e">
        <f t="shared" si="2"/>
        <v>#N/A</v>
      </c>
      <c r="F29" s="390" t="e">
        <f ca="1" t="shared" si="3"/>
        <v>#N/A</v>
      </c>
      <c r="G29" s="392">
        <f t="shared" si="4"/>
      </c>
      <c r="H29" s="390">
        <f t="shared" si="5"/>
      </c>
      <c r="J29" s="396" t="s">
        <v>42</v>
      </c>
      <c r="K29" s="403">
        <f>SUMSQ(ForecastingError)/COUNT(ForecastingError)</f>
        <v>81.3003191191407</v>
      </c>
    </row>
    <row r="30" spans="2:8" ht="12.75">
      <c r="B30" s="91">
        <f t="shared" si="0"/>
        <v>7</v>
      </c>
      <c r="C30" s="91">
        <f t="shared" si="1"/>
        <v>1</v>
      </c>
      <c r="D30" s="90"/>
      <c r="E30" s="390" t="e">
        <f t="shared" si="2"/>
        <v>#N/A</v>
      </c>
      <c r="F30" s="390" t="e">
        <f ca="1" t="shared" si="3"/>
        <v>#N/A</v>
      </c>
      <c r="G30" s="392">
        <f t="shared" si="4"/>
      </c>
      <c r="H30" s="390">
        <f t="shared" si="5"/>
      </c>
    </row>
    <row r="31" spans="1:10" ht="12.75">
      <c r="A31" s="91"/>
      <c r="B31" s="91">
        <f t="shared" si="0"/>
        <v>7</v>
      </c>
      <c r="C31" s="91">
        <f t="shared" si="1"/>
        <v>2</v>
      </c>
      <c r="D31" s="90"/>
      <c r="E31" s="390" t="e">
        <f t="shared" si="2"/>
        <v>#N/A</v>
      </c>
      <c r="F31" s="390" t="e">
        <f ca="1" t="shared" si="3"/>
        <v>#N/A</v>
      </c>
      <c r="G31" s="392">
        <f t="shared" si="4"/>
      </c>
      <c r="H31" s="390">
        <f t="shared" si="5"/>
      </c>
      <c r="I31" s="91"/>
      <c r="J31" s="91"/>
    </row>
    <row r="32" spans="1:10" ht="12.75">
      <c r="A32" s="91"/>
      <c r="B32" s="91">
        <f t="shared" si="0"/>
        <v>7</v>
      </c>
      <c r="C32" s="91">
        <f t="shared" si="1"/>
        <v>3</v>
      </c>
      <c r="D32" s="90"/>
      <c r="E32" s="390" t="e">
        <f t="shared" si="2"/>
        <v>#N/A</v>
      </c>
      <c r="F32" s="390" t="e">
        <f ca="1" t="shared" si="3"/>
        <v>#N/A</v>
      </c>
      <c r="G32" s="392">
        <f t="shared" si="4"/>
      </c>
      <c r="H32" s="390">
        <f t="shared" si="5"/>
      </c>
      <c r="I32" s="91"/>
      <c r="J32" s="91"/>
    </row>
    <row r="33" spans="1:10" ht="12.75">
      <c r="A33" s="91"/>
      <c r="B33" s="91">
        <f t="shared" si="0"/>
        <v>7</v>
      </c>
      <c r="C33" s="91">
        <f t="shared" si="1"/>
        <v>4</v>
      </c>
      <c r="D33" s="90"/>
      <c r="E33" s="390" t="e">
        <f t="shared" si="2"/>
        <v>#N/A</v>
      </c>
      <c r="F33" s="390" t="e">
        <f ca="1" t="shared" si="3"/>
        <v>#N/A</v>
      </c>
      <c r="G33" s="392">
        <f t="shared" si="4"/>
      </c>
      <c r="H33" s="390">
        <f t="shared" si="5"/>
      </c>
      <c r="I33" s="91"/>
      <c r="J33" s="91"/>
    </row>
    <row r="34" spans="1:10" ht="12.75">
      <c r="A34" s="91"/>
      <c r="B34" s="91">
        <f t="shared" si="0"/>
        <v>8</v>
      </c>
      <c r="C34" s="91">
        <f t="shared" si="1"/>
        <v>1</v>
      </c>
      <c r="D34" s="90"/>
      <c r="E34" s="390" t="e">
        <f t="shared" si="2"/>
        <v>#N/A</v>
      </c>
      <c r="F34" s="390" t="e">
        <f ca="1" t="shared" si="3"/>
        <v>#N/A</v>
      </c>
      <c r="G34" s="392">
        <f t="shared" si="4"/>
      </c>
      <c r="H34" s="390">
        <f t="shared" si="5"/>
      </c>
      <c r="I34" s="91"/>
      <c r="J34" s="91"/>
    </row>
    <row r="35" spans="1:10" ht="12.75">
      <c r="A35" s="91"/>
      <c r="B35" s="91">
        <f t="shared" si="0"/>
        <v>8</v>
      </c>
      <c r="C35" s="91">
        <f t="shared" si="1"/>
        <v>2</v>
      </c>
      <c r="D35" s="90"/>
      <c r="E35" s="390" t="e">
        <f t="shared" si="2"/>
        <v>#N/A</v>
      </c>
      <c r="F35" s="390" t="e">
        <f ca="1" t="shared" si="3"/>
        <v>#N/A</v>
      </c>
      <c r="G35" s="392">
        <f t="shared" si="4"/>
      </c>
      <c r="H35" s="390">
        <f t="shared" si="5"/>
      </c>
      <c r="I35" s="91"/>
      <c r="J35" s="91"/>
    </row>
    <row r="36" spans="1:10" ht="12.75">
      <c r="A36" s="91"/>
      <c r="B36" s="91">
        <f t="shared" si="0"/>
        <v>8</v>
      </c>
      <c r="C36" s="91">
        <f t="shared" si="1"/>
        <v>3</v>
      </c>
      <c r="D36" s="90"/>
      <c r="E36" s="390" t="e">
        <f t="shared" si="2"/>
        <v>#N/A</v>
      </c>
      <c r="F36" s="390" t="e">
        <f ca="1" t="shared" si="3"/>
        <v>#N/A</v>
      </c>
      <c r="G36" s="392">
        <f t="shared" si="4"/>
      </c>
      <c r="H36" s="390">
        <f t="shared" si="5"/>
      </c>
      <c r="I36" s="91"/>
      <c r="J36" s="91"/>
    </row>
    <row r="37" spans="2:8" ht="12.75">
      <c r="B37" s="91">
        <f t="shared" si="0"/>
        <v>8</v>
      </c>
      <c r="C37" s="91">
        <f t="shared" si="1"/>
        <v>4</v>
      </c>
      <c r="D37" s="90"/>
      <c r="E37" s="390" t="e">
        <f t="shared" si="2"/>
        <v>#N/A</v>
      </c>
      <c r="F37" s="390" t="e">
        <f ca="1" t="shared" si="3"/>
        <v>#N/A</v>
      </c>
      <c r="G37" s="392">
        <f t="shared" si="4"/>
      </c>
      <c r="H37" s="390">
        <f t="shared" si="5"/>
      </c>
    </row>
    <row r="38" spans="2:8" ht="12.75">
      <c r="B38" s="91">
        <f aca="true" t="shared" si="6" ref="B38:B69">IF(TypeOfSeasonality="Quarterly",TRUNC((ROW(B38)-2)/4),IF(TypeOfSeasonality="Monthly",TRUNC((ROW(B38)+6)/12),TRUNC((ROW(B38)-1)/5)))</f>
        <v>9</v>
      </c>
      <c r="C38" s="91">
        <f aca="true" t="shared" si="7" ref="C38:C69">IF(TypeOfSeasonality="Quarterly",INDEX($J$12:$J$15,MOD(ROW(B38)+2,4)+1,1),IF(TypeOfSeasonality="Monthly",INDEX($J$12:$J$23,MOD(ROW(B38)-6,12)+1,1),INDEX($J$12:$J$16,MOD(ROW(B38)-1,5)+1,1)))</f>
        <v>1</v>
      </c>
      <c r="D38" s="90"/>
      <c r="E38" s="390" t="e">
        <f aca="true" t="shared" si="8" ref="E38:E69">IF(ISNUMBER(TrueValue),TrueValue/VLOOKUP(C38,$J$12:$K$23,2,FALSE),NA())</f>
        <v>#N/A</v>
      </c>
      <c r="F38" s="390" t="e">
        <f ca="1" t="shared" si="3"/>
        <v>#N/A</v>
      </c>
      <c r="G38" s="392">
        <f t="shared" si="4"/>
      </c>
      <c r="H38" s="390">
        <f t="shared" si="5"/>
      </c>
    </row>
    <row r="39" spans="2:8" ht="12.75">
      <c r="B39" s="91">
        <f t="shared" si="6"/>
        <v>9</v>
      </c>
      <c r="C39" s="91">
        <f t="shared" si="7"/>
        <v>2</v>
      </c>
      <c r="D39" s="90"/>
      <c r="E39" s="390" t="e">
        <f t="shared" si="8"/>
        <v>#N/A</v>
      </c>
      <c r="F39" s="390" t="e">
        <f aca="true" ca="1" t="shared" si="9" ref="F39:F75">IF(AND(ISNUMBER(D38),ROW(F39)-6&gt;=NumberOfPeriods),AVERAGE(OFFSET(F39,-NumberOfPeriods,-1,NumberOfPeriods,1)),NA())</f>
        <v>#N/A</v>
      </c>
      <c r="G39" s="392">
        <f aca="true" t="shared" si="10" ref="G39:G75">IF(ISNUMBER(SeasonallyAdjustedForecast),SeasonallyAdjustedForecast*VLOOKUP(C39,$J$12:$K$23,2,FALSE),"")</f>
      </c>
      <c r="H39" s="390">
        <f aca="true" t="shared" si="11" ref="H39:H75">IF(AND(ISNUMBER(TrueValue),ISNUMBER(ActualForecast)),ABS(TrueValue-ActualForecast),"")</f>
      </c>
    </row>
    <row r="40" spans="2:8" ht="12.75">
      <c r="B40" s="91">
        <f t="shared" si="6"/>
        <v>9</v>
      </c>
      <c r="C40" s="91">
        <f t="shared" si="7"/>
        <v>3</v>
      </c>
      <c r="D40" s="90"/>
      <c r="E40" s="390" t="e">
        <f t="shared" si="8"/>
        <v>#N/A</v>
      </c>
      <c r="F40" s="390" t="e">
        <f ca="1" t="shared" si="9"/>
        <v>#N/A</v>
      </c>
      <c r="G40" s="392">
        <f t="shared" si="10"/>
      </c>
      <c r="H40" s="390">
        <f t="shared" si="11"/>
      </c>
    </row>
    <row r="41" spans="2:8" ht="12.75">
      <c r="B41" s="91">
        <f t="shared" si="6"/>
        <v>9</v>
      </c>
      <c r="C41" s="91">
        <f t="shared" si="7"/>
        <v>4</v>
      </c>
      <c r="D41" s="90"/>
      <c r="E41" s="390" t="e">
        <f t="shared" si="8"/>
        <v>#N/A</v>
      </c>
      <c r="F41" s="390" t="e">
        <f ca="1" t="shared" si="9"/>
        <v>#N/A</v>
      </c>
      <c r="G41" s="392">
        <f t="shared" si="10"/>
      </c>
      <c r="H41" s="390">
        <f t="shared" si="11"/>
      </c>
    </row>
    <row r="42" spans="2:8" ht="12.75">
      <c r="B42" s="91">
        <f t="shared" si="6"/>
        <v>10</v>
      </c>
      <c r="C42" s="91">
        <f t="shared" si="7"/>
        <v>1</v>
      </c>
      <c r="D42" s="90"/>
      <c r="E42" s="390" t="e">
        <f t="shared" si="8"/>
        <v>#N/A</v>
      </c>
      <c r="F42" s="390" t="e">
        <f ca="1" t="shared" si="9"/>
        <v>#N/A</v>
      </c>
      <c r="G42" s="392">
        <f t="shared" si="10"/>
      </c>
      <c r="H42" s="390">
        <f t="shared" si="11"/>
      </c>
    </row>
    <row r="43" spans="2:8" ht="12.75">
      <c r="B43" s="91">
        <f t="shared" si="6"/>
        <v>10</v>
      </c>
      <c r="C43" s="91">
        <f t="shared" si="7"/>
        <v>2</v>
      </c>
      <c r="D43" s="90"/>
      <c r="E43" s="390" t="e">
        <f t="shared" si="8"/>
        <v>#N/A</v>
      </c>
      <c r="F43" s="390" t="e">
        <f ca="1" t="shared" si="9"/>
        <v>#N/A</v>
      </c>
      <c r="G43" s="392">
        <f t="shared" si="10"/>
      </c>
      <c r="H43" s="390">
        <f t="shared" si="11"/>
      </c>
    </row>
    <row r="44" spans="2:8" ht="12.75">
      <c r="B44" s="91">
        <f t="shared" si="6"/>
        <v>10</v>
      </c>
      <c r="C44" s="91">
        <f t="shared" si="7"/>
        <v>3</v>
      </c>
      <c r="D44" s="90"/>
      <c r="E44" s="390" t="e">
        <f t="shared" si="8"/>
        <v>#N/A</v>
      </c>
      <c r="F44" s="390" t="e">
        <f ca="1" t="shared" si="9"/>
        <v>#N/A</v>
      </c>
      <c r="G44" s="392">
        <f t="shared" si="10"/>
      </c>
      <c r="H44" s="390">
        <f t="shared" si="11"/>
      </c>
    </row>
    <row r="45" spans="2:8" ht="12.75">
      <c r="B45" s="91">
        <f t="shared" si="6"/>
        <v>10</v>
      </c>
      <c r="C45" s="91">
        <f t="shared" si="7"/>
        <v>4</v>
      </c>
      <c r="D45" s="90"/>
      <c r="E45" s="390" t="e">
        <f t="shared" si="8"/>
        <v>#N/A</v>
      </c>
      <c r="F45" s="390" t="e">
        <f ca="1" t="shared" si="9"/>
        <v>#N/A</v>
      </c>
      <c r="G45" s="392">
        <f t="shared" si="10"/>
      </c>
      <c r="H45" s="390">
        <f t="shared" si="11"/>
      </c>
    </row>
    <row r="46" spans="2:8" ht="12.75">
      <c r="B46" s="91">
        <f t="shared" si="6"/>
        <v>11</v>
      </c>
      <c r="C46" s="91">
        <f t="shared" si="7"/>
        <v>1</v>
      </c>
      <c r="D46" s="90"/>
      <c r="E46" s="390" t="e">
        <f t="shared" si="8"/>
        <v>#N/A</v>
      </c>
      <c r="F46" s="390" t="e">
        <f ca="1" t="shared" si="9"/>
        <v>#N/A</v>
      </c>
      <c r="G46" s="392">
        <f t="shared" si="10"/>
      </c>
      <c r="H46" s="390">
        <f t="shared" si="11"/>
      </c>
    </row>
    <row r="47" spans="2:8" ht="12.75">
      <c r="B47" s="91">
        <f t="shared" si="6"/>
        <v>11</v>
      </c>
      <c r="C47" s="91">
        <f t="shared" si="7"/>
        <v>2</v>
      </c>
      <c r="D47" s="90"/>
      <c r="E47" s="390" t="e">
        <f t="shared" si="8"/>
        <v>#N/A</v>
      </c>
      <c r="F47" s="390" t="e">
        <f ca="1" t="shared" si="9"/>
        <v>#N/A</v>
      </c>
      <c r="G47" s="392">
        <f t="shared" si="10"/>
      </c>
      <c r="H47" s="390">
        <f t="shared" si="11"/>
      </c>
    </row>
    <row r="48" spans="2:8" ht="12.75">
      <c r="B48" s="91">
        <f t="shared" si="6"/>
        <v>11</v>
      </c>
      <c r="C48" s="91">
        <f t="shared" si="7"/>
        <v>3</v>
      </c>
      <c r="D48" s="90"/>
      <c r="E48" s="390" t="e">
        <f t="shared" si="8"/>
        <v>#N/A</v>
      </c>
      <c r="F48" s="390" t="e">
        <f ca="1" t="shared" si="9"/>
        <v>#N/A</v>
      </c>
      <c r="G48" s="392">
        <f t="shared" si="10"/>
      </c>
      <c r="H48" s="390">
        <f t="shared" si="11"/>
      </c>
    </row>
    <row r="49" spans="2:8" ht="12.75">
      <c r="B49" s="91">
        <f t="shared" si="6"/>
        <v>11</v>
      </c>
      <c r="C49" s="91">
        <f t="shared" si="7"/>
        <v>4</v>
      </c>
      <c r="D49" s="90"/>
      <c r="E49" s="390" t="e">
        <f t="shared" si="8"/>
        <v>#N/A</v>
      </c>
      <c r="F49" s="390" t="e">
        <f ca="1" t="shared" si="9"/>
        <v>#N/A</v>
      </c>
      <c r="G49" s="392">
        <f t="shared" si="10"/>
      </c>
      <c r="H49" s="390">
        <f t="shared" si="11"/>
      </c>
    </row>
    <row r="50" spans="2:8" ht="12.75">
      <c r="B50" s="91">
        <f t="shared" si="6"/>
        <v>12</v>
      </c>
      <c r="C50" s="91">
        <f t="shared" si="7"/>
        <v>1</v>
      </c>
      <c r="D50" s="90"/>
      <c r="E50" s="390" t="e">
        <f t="shared" si="8"/>
        <v>#N/A</v>
      </c>
      <c r="F50" s="390" t="e">
        <f ca="1" t="shared" si="9"/>
        <v>#N/A</v>
      </c>
      <c r="G50" s="392">
        <f t="shared" si="10"/>
      </c>
      <c r="H50" s="390">
        <f t="shared" si="11"/>
      </c>
    </row>
    <row r="51" spans="2:8" ht="12.75">
      <c r="B51" s="91">
        <f t="shared" si="6"/>
        <v>12</v>
      </c>
      <c r="C51" s="91">
        <f t="shared" si="7"/>
        <v>2</v>
      </c>
      <c r="D51" s="90"/>
      <c r="E51" s="390" t="e">
        <f t="shared" si="8"/>
        <v>#N/A</v>
      </c>
      <c r="F51" s="390" t="e">
        <f ca="1" t="shared" si="9"/>
        <v>#N/A</v>
      </c>
      <c r="G51" s="392">
        <f t="shared" si="10"/>
      </c>
      <c r="H51" s="390">
        <f t="shared" si="11"/>
      </c>
    </row>
    <row r="52" spans="2:8" ht="12.75">
      <c r="B52" s="91">
        <f t="shared" si="6"/>
        <v>12</v>
      </c>
      <c r="C52" s="91">
        <f t="shared" si="7"/>
        <v>3</v>
      </c>
      <c r="D52" s="90"/>
      <c r="E52" s="390" t="e">
        <f t="shared" si="8"/>
        <v>#N/A</v>
      </c>
      <c r="F52" s="390" t="e">
        <f ca="1" t="shared" si="9"/>
        <v>#N/A</v>
      </c>
      <c r="G52" s="392">
        <f t="shared" si="10"/>
      </c>
      <c r="H52" s="390">
        <f t="shared" si="11"/>
      </c>
    </row>
    <row r="53" spans="2:8" ht="12.75">
      <c r="B53" s="91">
        <f t="shared" si="6"/>
        <v>12</v>
      </c>
      <c r="C53" s="91">
        <f t="shared" si="7"/>
        <v>4</v>
      </c>
      <c r="D53" s="90"/>
      <c r="E53" s="390" t="e">
        <f t="shared" si="8"/>
        <v>#N/A</v>
      </c>
      <c r="F53" s="390" t="e">
        <f ca="1" t="shared" si="9"/>
        <v>#N/A</v>
      </c>
      <c r="G53" s="392">
        <f t="shared" si="10"/>
      </c>
      <c r="H53" s="390">
        <f t="shared" si="11"/>
      </c>
    </row>
    <row r="54" spans="2:8" ht="12.75">
      <c r="B54" s="91">
        <f t="shared" si="6"/>
        <v>13</v>
      </c>
      <c r="C54" s="91">
        <f t="shared" si="7"/>
        <v>1</v>
      </c>
      <c r="D54" s="90"/>
      <c r="E54" s="390" t="e">
        <f t="shared" si="8"/>
        <v>#N/A</v>
      </c>
      <c r="F54" s="390" t="e">
        <f ca="1" t="shared" si="9"/>
        <v>#N/A</v>
      </c>
      <c r="G54" s="392">
        <f t="shared" si="10"/>
      </c>
      <c r="H54" s="390">
        <f t="shared" si="11"/>
      </c>
    </row>
    <row r="55" spans="2:8" ht="12.75">
      <c r="B55" s="91">
        <f t="shared" si="6"/>
        <v>13</v>
      </c>
      <c r="C55" s="91">
        <f t="shared" si="7"/>
        <v>2</v>
      </c>
      <c r="D55" s="90"/>
      <c r="E55" s="390" t="e">
        <f t="shared" si="8"/>
        <v>#N/A</v>
      </c>
      <c r="F55" s="390" t="e">
        <f ca="1" t="shared" si="9"/>
        <v>#N/A</v>
      </c>
      <c r="G55" s="392">
        <f t="shared" si="10"/>
      </c>
      <c r="H55" s="390">
        <f t="shared" si="11"/>
      </c>
    </row>
    <row r="56" spans="2:8" ht="12.75">
      <c r="B56" s="91">
        <f t="shared" si="6"/>
        <v>13</v>
      </c>
      <c r="C56" s="91">
        <f t="shared" si="7"/>
        <v>3</v>
      </c>
      <c r="D56" s="90"/>
      <c r="E56" s="390" t="e">
        <f t="shared" si="8"/>
        <v>#N/A</v>
      </c>
      <c r="F56" s="390" t="e">
        <f ca="1" t="shared" si="9"/>
        <v>#N/A</v>
      </c>
      <c r="G56" s="392">
        <f t="shared" si="10"/>
      </c>
      <c r="H56" s="390">
        <f t="shared" si="11"/>
      </c>
    </row>
    <row r="57" spans="2:8" ht="12.75">
      <c r="B57" s="91">
        <f t="shared" si="6"/>
        <v>13</v>
      </c>
      <c r="C57" s="91">
        <f t="shared" si="7"/>
        <v>4</v>
      </c>
      <c r="D57" s="90"/>
      <c r="E57" s="390" t="e">
        <f t="shared" si="8"/>
        <v>#N/A</v>
      </c>
      <c r="F57" s="390" t="e">
        <f ca="1" t="shared" si="9"/>
        <v>#N/A</v>
      </c>
      <c r="G57" s="392">
        <f t="shared" si="10"/>
      </c>
      <c r="H57" s="390">
        <f t="shared" si="11"/>
      </c>
    </row>
    <row r="58" spans="2:8" ht="12.75">
      <c r="B58" s="91">
        <f t="shared" si="6"/>
        <v>14</v>
      </c>
      <c r="C58" s="91">
        <f t="shared" si="7"/>
        <v>1</v>
      </c>
      <c r="D58" s="90"/>
      <c r="E58" s="390" t="e">
        <f t="shared" si="8"/>
        <v>#N/A</v>
      </c>
      <c r="F58" s="390" t="e">
        <f ca="1" t="shared" si="9"/>
        <v>#N/A</v>
      </c>
      <c r="G58" s="392">
        <f t="shared" si="10"/>
      </c>
      <c r="H58" s="390">
        <f t="shared" si="11"/>
      </c>
    </row>
    <row r="59" spans="2:8" ht="12.75">
      <c r="B59" s="91">
        <f t="shared" si="6"/>
        <v>14</v>
      </c>
      <c r="C59" s="91">
        <f t="shared" si="7"/>
        <v>2</v>
      </c>
      <c r="D59" s="90"/>
      <c r="E59" s="390" t="e">
        <f t="shared" si="8"/>
        <v>#N/A</v>
      </c>
      <c r="F59" s="390" t="e">
        <f ca="1" t="shared" si="9"/>
        <v>#N/A</v>
      </c>
      <c r="G59" s="392">
        <f t="shared" si="10"/>
      </c>
      <c r="H59" s="390">
        <f t="shared" si="11"/>
      </c>
    </row>
    <row r="60" spans="2:8" ht="12.75">
      <c r="B60" s="91">
        <f t="shared" si="6"/>
        <v>14</v>
      </c>
      <c r="C60" s="91">
        <f t="shared" si="7"/>
        <v>3</v>
      </c>
      <c r="D60" s="90"/>
      <c r="E60" s="390" t="e">
        <f t="shared" si="8"/>
        <v>#N/A</v>
      </c>
      <c r="F60" s="390" t="e">
        <f ca="1" t="shared" si="9"/>
        <v>#N/A</v>
      </c>
      <c r="G60" s="392">
        <f t="shared" si="10"/>
      </c>
      <c r="H60" s="390">
        <f t="shared" si="11"/>
      </c>
    </row>
    <row r="61" spans="2:8" ht="12.75">
      <c r="B61" s="91">
        <f t="shared" si="6"/>
        <v>14</v>
      </c>
      <c r="C61" s="91">
        <f t="shared" si="7"/>
        <v>4</v>
      </c>
      <c r="D61" s="90"/>
      <c r="E61" s="390" t="e">
        <f t="shared" si="8"/>
        <v>#N/A</v>
      </c>
      <c r="F61" s="390" t="e">
        <f ca="1" t="shared" si="9"/>
        <v>#N/A</v>
      </c>
      <c r="G61" s="392">
        <f t="shared" si="10"/>
      </c>
      <c r="H61" s="390">
        <f t="shared" si="11"/>
      </c>
    </row>
    <row r="62" spans="2:8" ht="12.75">
      <c r="B62" s="91">
        <f t="shared" si="6"/>
        <v>15</v>
      </c>
      <c r="C62" s="91">
        <f t="shared" si="7"/>
        <v>1</v>
      </c>
      <c r="D62" s="90"/>
      <c r="E62" s="390" t="e">
        <f t="shared" si="8"/>
        <v>#N/A</v>
      </c>
      <c r="F62" s="390" t="e">
        <f ca="1" t="shared" si="9"/>
        <v>#N/A</v>
      </c>
      <c r="G62" s="392">
        <f t="shared" si="10"/>
      </c>
      <c r="H62" s="390">
        <f t="shared" si="11"/>
      </c>
    </row>
    <row r="63" spans="2:8" ht="12.75">
      <c r="B63" s="91">
        <f t="shared" si="6"/>
        <v>15</v>
      </c>
      <c r="C63" s="91">
        <f t="shared" si="7"/>
        <v>2</v>
      </c>
      <c r="D63" s="90"/>
      <c r="E63" s="390" t="e">
        <f t="shared" si="8"/>
        <v>#N/A</v>
      </c>
      <c r="F63" s="390" t="e">
        <f ca="1" t="shared" si="9"/>
        <v>#N/A</v>
      </c>
      <c r="G63" s="392">
        <f t="shared" si="10"/>
      </c>
      <c r="H63" s="390">
        <f t="shared" si="11"/>
      </c>
    </row>
    <row r="64" spans="2:8" ht="12.75">
      <c r="B64" s="91">
        <f t="shared" si="6"/>
        <v>15</v>
      </c>
      <c r="C64" s="91">
        <f t="shared" si="7"/>
        <v>3</v>
      </c>
      <c r="D64" s="90"/>
      <c r="E64" s="390" t="e">
        <f t="shared" si="8"/>
        <v>#N/A</v>
      </c>
      <c r="F64" s="390" t="e">
        <f ca="1" t="shared" si="9"/>
        <v>#N/A</v>
      </c>
      <c r="G64" s="392">
        <f t="shared" si="10"/>
      </c>
      <c r="H64" s="390">
        <f t="shared" si="11"/>
      </c>
    </row>
    <row r="65" spans="2:8" ht="12.75">
      <c r="B65" s="91">
        <f t="shared" si="6"/>
        <v>15</v>
      </c>
      <c r="C65" s="91">
        <f t="shared" si="7"/>
        <v>4</v>
      </c>
      <c r="D65" s="90"/>
      <c r="E65" s="390" t="e">
        <f t="shared" si="8"/>
        <v>#N/A</v>
      </c>
      <c r="F65" s="390" t="e">
        <f ca="1" t="shared" si="9"/>
        <v>#N/A</v>
      </c>
      <c r="G65" s="392">
        <f t="shared" si="10"/>
      </c>
      <c r="H65" s="390">
        <f t="shared" si="11"/>
      </c>
    </row>
    <row r="66" spans="2:8" ht="12.75">
      <c r="B66" s="91">
        <f t="shared" si="6"/>
        <v>16</v>
      </c>
      <c r="C66" s="91">
        <f t="shared" si="7"/>
        <v>1</v>
      </c>
      <c r="D66" s="90"/>
      <c r="E66" s="390" t="e">
        <f t="shared" si="8"/>
        <v>#N/A</v>
      </c>
      <c r="F66" s="390" t="e">
        <f ca="1" t="shared" si="9"/>
        <v>#N/A</v>
      </c>
      <c r="G66" s="392">
        <f t="shared" si="10"/>
      </c>
      <c r="H66" s="390">
        <f t="shared" si="11"/>
      </c>
    </row>
    <row r="67" spans="2:8" ht="12.75">
      <c r="B67" s="91">
        <f t="shared" si="6"/>
        <v>16</v>
      </c>
      <c r="C67" s="91">
        <f t="shared" si="7"/>
        <v>2</v>
      </c>
      <c r="D67" s="90"/>
      <c r="E67" s="390" t="e">
        <f t="shared" si="8"/>
        <v>#N/A</v>
      </c>
      <c r="F67" s="390" t="e">
        <f ca="1" t="shared" si="9"/>
        <v>#N/A</v>
      </c>
      <c r="G67" s="392">
        <f t="shared" si="10"/>
      </c>
      <c r="H67" s="390">
        <f t="shared" si="11"/>
      </c>
    </row>
    <row r="68" spans="2:8" ht="12.75">
      <c r="B68" s="91">
        <f t="shared" si="6"/>
        <v>16</v>
      </c>
      <c r="C68" s="91">
        <f t="shared" si="7"/>
        <v>3</v>
      </c>
      <c r="D68" s="90"/>
      <c r="E68" s="390" t="e">
        <f t="shared" si="8"/>
        <v>#N/A</v>
      </c>
      <c r="F68" s="390" t="e">
        <f ca="1" t="shared" si="9"/>
        <v>#N/A</v>
      </c>
      <c r="G68" s="392">
        <f t="shared" si="10"/>
      </c>
      <c r="H68" s="390">
        <f t="shared" si="11"/>
      </c>
    </row>
    <row r="69" spans="2:8" ht="12.75">
      <c r="B69" s="91">
        <f t="shared" si="6"/>
        <v>16</v>
      </c>
      <c r="C69" s="91">
        <f t="shared" si="7"/>
        <v>4</v>
      </c>
      <c r="D69" s="90"/>
      <c r="E69" s="390" t="e">
        <f t="shared" si="8"/>
        <v>#N/A</v>
      </c>
      <c r="F69" s="390" t="e">
        <f ca="1" t="shared" si="9"/>
        <v>#N/A</v>
      </c>
      <c r="G69" s="392">
        <f t="shared" si="10"/>
      </c>
      <c r="H69" s="390">
        <f t="shared" si="11"/>
      </c>
    </row>
    <row r="70" spans="2:8" ht="12.75">
      <c r="B70" s="91">
        <f aca="true" t="shared" si="12" ref="B70:B75">IF(TypeOfSeasonality="Quarterly",TRUNC((ROW(B70)-2)/4),IF(TypeOfSeasonality="Monthly",TRUNC((ROW(B70)+6)/12),TRUNC((ROW(B70)-1)/5)))</f>
        <v>17</v>
      </c>
      <c r="C70" s="91">
        <f aca="true" t="shared" si="13" ref="C70:C75">IF(TypeOfSeasonality="Quarterly",INDEX($J$12:$J$15,MOD(ROW(B70)+2,4)+1,1),IF(TypeOfSeasonality="Monthly",INDEX($J$12:$J$23,MOD(ROW(B70)-6,12)+1,1),INDEX($J$12:$J$16,MOD(ROW(B70)-1,5)+1,1)))</f>
        <v>1</v>
      </c>
      <c r="D70" s="90"/>
      <c r="E70" s="390" t="e">
        <f aca="true" t="shared" si="14" ref="E70:E75">IF(ISNUMBER(TrueValue),TrueValue/VLOOKUP(C70,$J$12:$K$23,2,FALSE),NA())</f>
        <v>#N/A</v>
      </c>
      <c r="F70" s="390" t="e">
        <f ca="1" t="shared" si="9"/>
        <v>#N/A</v>
      </c>
      <c r="G70" s="392">
        <f t="shared" si="10"/>
      </c>
      <c r="H70" s="390">
        <f t="shared" si="11"/>
      </c>
    </row>
    <row r="71" spans="2:8" ht="12.75">
      <c r="B71" s="91">
        <f t="shared" si="12"/>
        <v>17</v>
      </c>
      <c r="C71" s="91">
        <f t="shared" si="13"/>
        <v>2</v>
      </c>
      <c r="D71" s="90"/>
      <c r="E71" s="390" t="e">
        <f t="shared" si="14"/>
        <v>#N/A</v>
      </c>
      <c r="F71" s="390" t="e">
        <f ca="1" t="shared" si="9"/>
        <v>#N/A</v>
      </c>
      <c r="G71" s="392">
        <f t="shared" si="10"/>
      </c>
      <c r="H71" s="390">
        <f t="shared" si="11"/>
      </c>
    </row>
    <row r="72" spans="2:8" ht="12.75">
      <c r="B72" s="91">
        <f t="shared" si="12"/>
        <v>17</v>
      </c>
      <c r="C72" s="91">
        <f t="shared" si="13"/>
        <v>3</v>
      </c>
      <c r="D72" s="90"/>
      <c r="E72" s="390" t="e">
        <f t="shared" si="14"/>
        <v>#N/A</v>
      </c>
      <c r="F72" s="390" t="e">
        <f ca="1" t="shared" si="9"/>
        <v>#N/A</v>
      </c>
      <c r="G72" s="392">
        <f t="shared" si="10"/>
      </c>
      <c r="H72" s="390">
        <f t="shared" si="11"/>
      </c>
    </row>
    <row r="73" spans="2:8" ht="12.75">
      <c r="B73" s="91">
        <f t="shared" si="12"/>
        <v>17</v>
      </c>
      <c r="C73" s="91">
        <f t="shared" si="13"/>
        <v>4</v>
      </c>
      <c r="D73" s="90"/>
      <c r="E73" s="390" t="e">
        <f t="shared" si="14"/>
        <v>#N/A</v>
      </c>
      <c r="F73" s="390" t="e">
        <f ca="1" t="shared" si="9"/>
        <v>#N/A</v>
      </c>
      <c r="G73" s="392">
        <f t="shared" si="10"/>
      </c>
      <c r="H73" s="390">
        <f t="shared" si="11"/>
      </c>
    </row>
    <row r="74" spans="2:8" ht="12.75">
      <c r="B74" s="91">
        <f t="shared" si="12"/>
        <v>18</v>
      </c>
      <c r="C74" s="91">
        <f t="shared" si="13"/>
        <v>1</v>
      </c>
      <c r="D74" s="90"/>
      <c r="E74" s="390" t="e">
        <f t="shared" si="14"/>
        <v>#N/A</v>
      </c>
      <c r="F74" s="390" t="e">
        <f ca="1" t="shared" si="9"/>
        <v>#N/A</v>
      </c>
      <c r="G74" s="392">
        <f t="shared" si="10"/>
      </c>
      <c r="H74" s="390">
        <f t="shared" si="11"/>
      </c>
    </row>
    <row r="75" spans="2:8" ht="13.5" thickBot="1">
      <c r="B75" s="91">
        <f t="shared" si="12"/>
        <v>18</v>
      </c>
      <c r="C75" s="91">
        <f t="shared" si="13"/>
        <v>2</v>
      </c>
      <c r="D75" s="90"/>
      <c r="E75" s="390" t="e">
        <f t="shared" si="14"/>
        <v>#N/A</v>
      </c>
      <c r="F75" s="390" t="e">
        <f ca="1" t="shared" si="9"/>
        <v>#N/A</v>
      </c>
      <c r="G75" s="398">
        <f t="shared" si="10"/>
      </c>
      <c r="H75" s="390">
        <f t="shared" si="11"/>
      </c>
    </row>
    <row r="76" spans="2:8" ht="12.75">
      <c r="B76" s="91"/>
      <c r="C76" s="91"/>
      <c r="D76" s="91"/>
      <c r="E76" s="91"/>
      <c r="F76" s="91"/>
      <c r="G76" s="91"/>
      <c r="H76" s="91"/>
    </row>
  </sheetData>
  <conditionalFormatting sqref="E6:E75">
    <cfRule type="expression" priority="1" dxfId="3" stopIfTrue="1">
      <formula>NOT(ISNUMBER(D6))</formula>
    </cfRule>
  </conditionalFormatting>
  <conditionalFormatting sqref="F7:F75">
    <cfRule type="expression" priority="2" dxfId="3" stopIfTrue="1">
      <formula>NOT(ISNUMBER(F7))</formula>
    </cfRule>
  </conditionalFormatting>
  <conditionalFormatting sqref="K16">
    <cfRule type="expression" priority="3" dxfId="4" stopIfTrue="1">
      <formula>(TypeOfSeasonality="Quarterly")</formula>
    </cfRule>
  </conditionalFormatting>
  <conditionalFormatting sqref="K17:K23">
    <cfRule type="expression" priority="4" dxfId="4" stopIfTrue="1">
      <formula>(TypeOfSeasonality&lt;&gt;"Monthly")</formula>
    </cfRule>
  </conditionalFormatting>
  <dataValidations count="2">
    <dataValidation type="list" allowBlank="1" showInputMessage="1" showErrorMessage="1" sqref="K9">
      <formula1>"Quarterly,Monthly,Daily"</formula1>
    </dataValidation>
    <dataValidation type="whole" operator="greaterThanOrEqual" allowBlank="1" showInputMessage="1" showErrorMessage="1" error="The number of previous periods to consider must be an integer greater than or equal to 1." sqref="K6">
      <formula1>1</formula1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5.25390625" style="1" bestFit="1" customWidth="1"/>
    <col min="3" max="6" width="9.875" style="1" customWidth="1"/>
    <col min="7" max="7" width="6.875" style="1" bestFit="1" customWidth="1"/>
    <col min="8" max="8" width="3.00390625" style="1" bestFit="1" customWidth="1"/>
    <col min="9" max="9" width="10.125" style="1" customWidth="1"/>
    <col min="10" max="10" width="2.875" style="1" customWidth="1"/>
    <col min="11" max="11" width="6.875" style="1" bestFit="1" customWidth="1"/>
    <col min="12" max="16384" width="10.875" style="1" customWidth="1"/>
  </cols>
  <sheetData>
    <row r="1" ht="15.75">
      <c r="A1" s="2" t="s">
        <v>274</v>
      </c>
    </row>
    <row r="2" ht="12">
      <c r="A2" s="86"/>
    </row>
    <row r="3" spans="1:5" ht="12">
      <c r="A3" s="86"/>
      <c r="C3" s="1" t="s">
        <v>212</v>
      </c>
      <c r="E3" s="1" t="s">
        <v>214</v>
      </c>
    </row>
    <row r="4" spans="2:6" ht="12">
      <c r="B4" s="14" t="s">
        <v>275</v>
      </c>
      <c r="C4" s="1" t="s">
        <v>213</v>
      </c>
      <c r="D4" s="1" t="s">
        <v>276</v>
      </c>
      <c r="E4" s="1" t="s">
        <v>212</v>
      </c>
      <c r="F4" s="1" t="s">
        <v>277</v>
      </c>
    </row>
    <row r="5" spans="2:6" ht="12">
      <c r="B5" s="3" t="s">
        <v>278</v>
      </c>
      <c r="C5" s="31">
        <v>60</v>
      </c>
      <c r="D5" s="31">
        <v>10</v>
      </c>
      <c r="E5" s="31">
        <v>10</v>
      </c>
      <c r="F5" s="31">
        <v>20</v>
      </c>
    </row>
    <row r="6" spans="2:6" ht="12">
      <c r="B6" s="3" t="s">
        <v>279</v>
      </c>
      <c r="C6" s="31">
        <v>20</v>
      </c>
      <c r="D6" s="31">
        <v>20</v>
      </c>
      <c r="E6" s="31">
        <v>40</v>
      </c>
      <c r="F6" s="31">
        <v>20</v>
      </c>
    </row>
    <row r="7" spans="2:6" ht="12">
      <c r="B7" s="3" t="s">
        <v>280</v>
      </c>
      <c r="C7" s="31">
        <v>45</v>
      </c>
      <c r="D7" s="31">
        <v>45</v>
      </c>
      <c r="E7" s="31">
        <v>5</v>
      </c>
      <c r="F7" s="31">
        <v>5</v>
      </c>
    </row>
    <row r="8" spans="2:6" ht="12">
      <c r="B8" s="3" t="s">
        <v>281</v>
      </c>
      <c r="C8" s="31">
        <v>50</v>
      </c>
      <c r="D8" s="31">
        <v>20</v>
      </c>
      <c r="E8" s="31">
        <v>5</v>
      </c>
      <c r="F8" s="31">
        <v>25</v>
      </c>
    </row>
    <row r="9" spans="2:6" ht="12">
      <c r="B9" s="3" t="s">
        <v>282</v>
      </c>
      <c r="C9" s="31">
        <v>30</v>
      </c>
      <c r="D9" s="31">
        <v>30</v>
      </c>
      <c r="E9" s="31">
        <v>30</v>
      </c>
      <c r="F9" s="31">
        <v>10</v>
      </c>
    </row>
    <row r="10" spans="2:6" ht="12">
      <c r="B10" s="3" t="s">
        <v>283</v>
      </c>
      <c r="C10" s="31">
        <v>50</v>
      </c>
      <c r="D10" s="31">
        <v>50</v>
      </c>
      <c r="E10" s="31">
        <v>0</v>
      </c>
      <c r="F10" s="31">
        <v>0</v>
      </c>
    </row>
    <row r="11" spans="2:6" ht="12">
      <c r="B11" s="3" t="s">
        <v>284</v>
      </c>
      <c r="C11" s="31">
        <v>70</v>
      </c>
      <c r="D11" s="31">
        <v>20</v>
      </c>
      <c r="E11" s="31">
        <v>10</v>
      </c>
      <c r="F11" s="31">
        <v>0</v>
      </c>
    </row>
    <row r="12" spans="2:6" ht="12">
      <c r="B12" s="3" t="s">
        <v>285</v>
      </c>
      <c r="C12" s="31">
        <v>25</v>
      </c>
      <c r="D12" s="31">
        <v>25</v>
      </c>
      <c r="E12" s="31">
        <v>35</v>
      </c>
      <c r="F12" s="31">
        <v>15</v>
      </c>
    </row>
    <row r="13" spans="2:6" ht="12">
      <c r="B13" s="3" t="s">
        <v>286</v>
      </c>
      <c r="C13" s="31">
        <v>35</v>
      </c>
      <c r="D13" s="31">
        <v>15</v>
      </c>
      <c r="E13" s="31">
        <v>35</v>
      </c>
      <c r="F13" s="31">
        <v>15</v>
      </c>
    </row>
    <row r="14" spans="2:6" ht="12">
      <c r="B14" s="3" t="s">
        <v>287</v>
      </c>
      <c r="C14" s="31">
        <v>60</v>
      </c>
      <c r="D14" s="31">
        <v>10</v>
      </c>
      <c r="E14" s="31">
        <v>10</v>
      </c>
      <c r="F14" s="31">
        <v>20</v>
      </c>
    </row>
    <row r="16" spans="2:11" ht="13.5" customHeight="1">
      <c r="B16" s="14"/>
      <c r="C16" s="1" t="s">
        <v>212</v>
      </c>
      <c r="E16" s="1" t="s">
        <v>214</v>
      </c>
      <c r="G16" s="1" t="s">
        <v>260</v>
      </c>
      <c r="I16" s="1" t="s">
        <v>205</v>
      </c>
      <c r="K16" s="1" t="s">
        <v>206</v>
      </c>
    </row>
    <row r="17" spans="2:11" ht="12">
      <c r="B17" s="14" t="s">
        <v>207</v>
      </c>
      <c r="C17" s="1" t="s">
        <v>213</v>
      </c>
      <c r="D17" s="1" t="s">
        <v>276</v>
      </c>
      <c r="E17" s="1" t="s">
        <v>212</v>
      </c>
      <c r="F17" s="1" t="s">
        <v>277</v>
      </c>
      <c r="G17" s="1" t="s">
        <v>205</v>
      </c>
      <c r="I17" s="1" t="s">
        <v>208</v>
      </c>
      <c r="J17" s="8"/>
      <c r="K17" s="1" t="s">
        <v>275</v>
      </c>
    </row>
    <row r="18" spans="2:11" ht="12">
      <c r="B18" s="3" t="s">
        <v>278</v>
      </c>
      <c r="C18" s="32">
        <v>1</v>
      </c>
      <c r="D18" s="33">
        <v>0</v>
      </c>
      <c r="E18" s="33">
        <v>0</v>
      </c>
      <c r="F18" s="34">
        <v>1</v>
      </c>
      <c r="G18" s="1">
        <f aca="true" t="shared" si="0" ref="G18:G27">SUM(C18:F18)</f>
        <v>2</v>
      </c>
      <c r="H18" s="1" t="s">
        <v>209</v>
      </c>
      <c r="I18" s="35">
        <v>2</v>
      </c>
      <c r="J18" s="8"/>
      <c r="K18" s="1">
        <f aca="true" t="shared" si="1" ref="K18:K27">SUMPRODUCT(C5:F5,C18:F18)</f>
        <v>80</v>
      </c>
    </row>
    <row r="19" spans="2:11" ht="12">
      <c r="B19" s="3" t="s">
        <v>279</v>
      </c>
      <c r="C19" s="36">
        <v>0</v>
      </c>
      <c r="D19" s="37">
        <v>0</v>
      </c>
      <c r="E19" s="37">
        <v>1</v>
      </c>
      <c r="F19" s="38">
        <v>1</v>
      </c>
      <c r="G19" s="1">
        <f t="shared" si="0"/>
        <v>2</v>
      </c>
      <c r="H19" s="1" t="s">
        <v>209</v>
      </c>
      <c r="I19" s="35">
        <v>2</v>
      </c>
      <c r="J19" s="8"/>
      <c r="K19" s="1">
        <f t="shared" si="1"/>
        <v>60</v>
      </c>
    </row>
    <row r="20" spans="2:11" ht="12">
      <c r="B20" s="3" t="s">
        <v>280</v>
      </c>
      <c r="C20" s="36">
        <v>0.9999999999999988</v>
      </c>
      <c r="D20" s="37">
        <v>1</v>
      </c>
      <c r="E20" s="37">
        <v>0</v>
      </c>
      <c r="F20" s="38">
        <v>0</v>
      </c>
      <c r="G20" s="1">
        <f t="shared" si="0"/>
        <v>1.9999999999999987</v>
      </c>
      <c r="H20" s="1" t="s">
        <v>209</v>
      </c>
      <c r="I20" s="35">
        <v>2</v>
      </c>
      <c r="J20" s="8"/>
      <c r="K20" s="1">
        <f t="shared" si="1"/>
        <v>89.99999999999994</v>
      </c>
    </row>
    <row r="21" spans="2:11" ht="12">
      <c r="B21" s="3" t="s">
        <v>281</v>
      </c>
      <c r="C21" s="36">
        <v>0</v>
      </c>
      <c r="D21" s="37">
        <v>1</v>
      </c>
      <c r="E21" s="37">
        <v>0</v>
      </c>
      <c r="F21" s="38">
        <v>1</v>
      </c>
      <c r="G21" s="1">
        <f t="shared" si="0"/>
        <v>2</v>
      </c>
      <c r="H21" s="1" t="s">
        <v>209</v>
      </c>
      <c r="I21" s="35">
        <v>2</v>
      </c>
      <c r="J21" s="8"/>
      <c r="K21" s="1">
        <f t="shared" si="1"/>
        <v>45</v>
      </c>
    </row>
    <row r="22" spans="2:11" ht="12">
      <c r="B22" s="3" t="s">
        <v>282</v>
      </c>
      <c r="C22" s="36">
        <v>0</v>
      </c>
      <c r="D22" s="37">
        <v>1</v>
      </c>
      <c r="E22" s="37">
        <v>1</v>
      </c>
      <c r="F22" s="38">
        <v>0</v>
      </c>
      <c r="G22" s="1">
        <f t="shared" si="0"/>
        <v>2</v>
      </c>
      <c r="H22" s="1" t="s">
        <v>209</v>
      </c>
      <c r="I22" s="35">
        <v>2</v>
      </c>
      <c r="J22" s="8"/>
      <c r="K22" s="1">
        <f t="shared" si="1"/>
        <v>60</v>
      </c>
    </row>
    <row r="23" spans="2:11" ht="12">
      <c r="B23" s="3" t="s">
        <v>283</v>
      </c>
      <c r="C23" s="36">
        <v>1</v>
      </c>
      <c r="D23" s="37">
        <v>1</v>
      </c>
      <c r="E23" s="37">
        <v>0</v>
      </c>
      <c r="F23" s="38">
        <v>0</v>
      </c>
      <c r="G23" s="1">
        <f t="shared" si="0"/>
        <v>2</v>
      </c>
      <c r="H23" s="1" t="s">
        <v>209</v>
      </c>
      <c r="I23" s="35">
        <v>2</v>
      </c>
      <c r="J23" s="8"/>
      <c r="K23" s="1">
        <f t="shared" si="1"/>
        <v>100</v>
      </c>
    </row>
    <row r="24" spans="2:11" ht="12">
      <c r="B24" s="3" t="s">
        <v>284</v>
      </c>
      <c r="C24" s="36">
        <v>1</v>
      </c>
      <c r="D24" s="37">
        <v>0</v>
      </c>
      <c r="E24" s="37">
        <v>0.9999999999999993</v>
      </c>
      <c r="F24" s="38">
        <v>0</v>
      </c>
      <c r="G24" s="1">
        <f t="shared" si="0"/>
        <v>1.9999999999999993</v>
      </c>
      <c r="H24" s="1" t="s">
        <v>209</v>
      </c>
      <c r="I24" s="35">
        <v>2</v>
      </c>
      <c r="J24" s="8"/>
      <c r="K24" s="1">
        <f t="shared" si="1"/>
        <v>80</v>
      </c>
    </row>
    <row r="25" spans="2:11" ht="12">
      <c r="B25" s="3" t="s">
        <v>285</v>
      </c>
      <c r="C25" s="36">
        <v>0</v>
      </c>
      <c r="D25" s="37">
        <v>1</v>
      </c>
      <c r="E25" s="37">
        <v>1</v>
      </c>
      <c r="F25" s="38">
        <v>0</v>
      </c>
      <c r="G25" s="1">
        <f t="shared" si="0"/>
        <v>2</v>
      </c>
      <c r="H25" s="1" t="s">
        <v>209</v>
      </c>
      <c r="I25" s="35">
        <v>2</v>
      </c>
      <c r="J25" s="8"/>
      <c r="K25" s="1">
        <f t="shared" si="1"/>
        <v>60</v>
      </c>
    </row>
    <row r="26" spans="2:11" ht="12">
      <c r="B26" s="3" t="s">
        <v>286</v>
      </c>
      <c r="C26" s="36">
        <v>0</v>
      </c>
      <c r="D26" s="37">
        <v>0</v>
      </c>
      <c r="E26" s="37">
        <v>1</v>
      </c>
      <c r="F26" s="38">
        <v>0.999999999999999</v>
      </c>
      <c r="G26" s="1">
        <f t="shared" si="0"/>
        <v>1.9999999999999991</v>
      </c>
      <c r="H26" s="1" t="s">
        <v>209</v>
      </c>
      <c r="I26" s="35">
        <v>2</v>
      </c>
      <c r="J26" s="8"/>
      <c r="K26" s="1">
        <f t="shared" si="1"/>
        <v>49.999999999999986</v>
      </c>
    </row>
    <row r="27" spans="2:11" ht="12">
      <c r="B27" s="3" t="s">
        <v>287</v>
      </c>
      <c r="C27" s="39">
        <v>1</v>
      </c>
      <c r="D27" s="40">
        <v>0</v>
      </c>
      <c r="E27" s="40">
        <v>0</v>
      </c>
      <c r="F27" s="41">
        <v>1</v>
      </c>
      <c r="G27" s="1">
        <f t="shared" si="0"/>
        <v>2</v>
      </c>
      <c r="H27" s="1" t="s">
        <v>209</v>
      </c>
      <c r="I27" s="35">
        <v>2</v>
      </c>
      <c r="K27" s="1">
        <f t="shared" si="1"/>
        <v>80</v>
      </c>
    </row>
    <row r="28" spans="3:6" ht="12.75" thickBot="1">
      <c r="C28" s="1">
        <f>SUM(C18:C27)</f>
        <v>4.999999999999998</v>
      </c>
      <c r="D28" s="1">
        <f>SUM(D18:D27)</f>
        <v>5</v>
      </c>
      <c r="E28" s="1">
        <f>SUM(E18:E27)</f>
        <v>4.999999999999999</v>
      </c>
      <c r="F28" s="1">
        <f>SUM(F18:F27)</f>
        <v>4.999999999999999</v>
      </c>
    </row>
    <row r="29" spans="3:11" ht="12.75" thickBot="1">
      <c r="C29" s="1" t="s">
        <v>269</v>
      </c>
      <c r="D29" s="1" t="s">
        <v>269</v>
      </c>
      <c r="E29" s="1" t="s">
        <v>269</v>
      </c>
      <c r="F29" s="1" t="s">
        <v>269</v>
      </c>
      <c r="J29" s="24" t="s">
        <v>210</v>
      </c>
      <c r="K29" s="42">
        <f>SUMPRODUCT(C5:F14,C18:F27)</f>
        <v>704.9999999999999</v>
      </c>
    </row>
    <row r="30" spans="2:6" ht="12">
      <c r="B30" s="3" t="s">
        <v>211</v>
      </c>
      <c r="C30" s="35">
        <v>5</v>
      </c>
      <c r="D30" s="35">
        <v>5</v>
      </c>
      <c r="E30" s="35">
        <v>5</v>
      </c>
      <c r="F30" s="35">
        <v>5</v>
      </c>
    </row>
  </sheetData>
  <printOptions gridLines="1" headings="1"/>
  <pageMargins left="0.75" right="0.75" top="1" bottom="1" header="0.5" footer="0.5"/>
  <pageSetup fitToHeight="1" fitToWidth="1" orientation="portrait" paperSize="9" scale="9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00390625" defaultRowHeight="12"/>
  <cols>
    <col min="1" max="1" width="2.875" style="30" customWidth="1"/>
    <col min="2" max="2" width="5.75390625" style="30" bestFit="1" customWidth="1"/>
    <col min="3" max="3" width="8.875" style="30" customWidth="1"/>
    <col min="4" max="4" width="8.75390625" style="30" customWidth="1"/>
    <col min="5" max="6" width="11.75390625" style="30" customWidth="1"/>
    <col min="7" max="7" width="10.00390625" style="30" customWidth="1"/>
    <col min="8" max="8" width="12.75390625" style="30" customWidth="1"/>
    <col min="9" max="9" width="4.25390625" style="30" customWidth="1"/>
    <col min="10" max="10" width="11.25390625" style="30" customWidth="1"/>
    <col min="11" max="11" width="20.00390625" style="30" customWidth="1"/>
    <col min="12" max="12" width="5.875" style="30" customWidth="1"/>
    <col min="13" max="13" width="26.875" style="30" bestFit="1" customWidth="1"/>
    <col min="14" max="14" width="9.00390625" style="30" bestFit="1" customWidth="1"/>
    <col min="15" max="16384" width="10.875" style="30" customWidth="1"/>
  </cols>
  <sheetData>
    <row r="1" ht="18">
      <c r="A1" s="28" t="s">
        <v>124</v>
      </c>
    </row>
    <row r="2" ht="13.5" thickBot="1"/>
    <row r="3" spans="5:14" ht="13.5" thickBot="1">
      <c r="E3" s="87" t="s">
        <v>104</v>
      </c>
      <c r="F3" s="87" t="s">
        <v>104</v>
      </c>
      <c r="M3" s="388" t="s">
        <v>501</v>
      </c>
      <c r="N3" s="389" t="s">
        <v>502</v>
      </c>
    </row>
    <row r="4" spans="2:14" ht="12.75">
      <c r="B4" s="87"/>
      <c r="C4" s="87"/>
      <c r="D4" s="87" t="s">
        <v>93</v>
      </c>
      <c r="E4" s="87" t="s">
        <v>105</v>
      </c>
      <c r="F4" s="87" t="s">
        <v>105</v>
      </c>
      <c r="G4" s="87" t="s">
        <v>360</v>
      </c>
      <c r="H4" s="87" t="s">
        <v>28</v>
      </c>
      <c r="J4" s="29" t="s">
        <v>63</v>
      </c>
      <c r="M4" s="376" t="s">
        <v>106</v>
      </c>
      <c r="N4" s="377" t="s">
        <v>107</v>
      </c>
    </row>
    <row r="5" spans="2:14" ht="13.5" thickBot="1">
      <c r="B5" s="87" t="str">
        <f>IF(TypeOfSeasonality="Daily","Week","Year")</f>
        <v>Year</v>
      </c>
      <c r="C5" s="87" t="str">
        <f>IF(TypeOfSeasonality="Quarterly","Quarter",IF(TypeOfSeasonality="Monthly","Month","Day"))</f>
        <v>Quarter</v>
      </c>
      <c r="D5" s="87" t="s">
        <v>433</v>
      </c>
      <c r="E5" s="87" t="s">
        <v>433</v>
      </c>
      <c r="F5" s="87" t="s">
        <v>30</v>
      </c>
      <c r="G5" s="87" t="s">
        <v>30</v>
      </c>
      <c r="H5" s="87" t="s">
        <v>31</v>
      </c>
      <c r="J5" s="404" t="s">
        <v>65</v>
      </c>
      <c r="K5" s="401">
        <v>0.2</v>
      </c>
      <c r="M5" s="376" t="s">
        <v>64</v>
      </c>
      <c r="N5" s="377" t="s">
        <v>125</v>
      </c>
    </row>
    <row r="6" spans="2:14" ht="12.75">
      <c r="B6" s="91">
        <f aca="true" t="shared" si="0" ref="B6:B37">IF(TypeOfSeasonality="Quarterly",TRUNC((ROW(B6)-2)/4),IF(TypeOfSeasonality="Monthly",TRUNC((ROW(B6)+6)/12),TRUNC((ROW(B6)-1)/5)))</f>
        <v>1</v>
      </c>
      <c r="C6" s="91">
        <f aca="true" t="shared" si="1" ref="C6:C37">IF(TypeOfSeasonality="Quarterly",INDEX($J$14:$J$17,MOD(ROW(B6)+2,4)+1,1),IF(TypeOfSeasonality="Monthly",INDEX($J$14:$J$25,MOD(ROW(B6)-6,12)+1,1),INDEX($J$14:$J$18,MOD(ROW(B6)-1,5)+1,1)))</f>
        <v>1</v>
      </c>
      <c r="D6" s="344">
        <v>242</v>
      </c>
      <c r="E6" s="390">
        <f aca="true" t="shared" si="2" ref="E6:E37">IF(ISNUMBER(TrueValue),TrueValue/VLOOKUP(C6,$J$14:$K$25,2,FALSE),NA())</f>
        <v>275.626423690205</v>
      </c>
      <c r="F6" s="390">
        <f>IF(ISNUMBER(InitialEstimate),InitialEstimate,NA())</f>
        <v>275</v>
      </c>
      <c r="G6" s="391">
        <f aca="true" t="shared" si="3" ref="G6:G37">IF(ISNUMBER(SeasonallyAdjustedForecast),SeasonallyAdjustedForecast*VLOOKUP(C6,$J$14:$K$25,2,FALSE),"")</f>
        <v>241.45</v>
      </c>
      <c r="H6" s="390">
        <f aca="true" t="shared" si="4" ref="H6:H37">IF(AND(ISNUMBER(TrueValue),ISNUMBER(ActualForecast)),ABS(TrueValue-ActualForecast),"")</f>
        <v>0.5500000000000114</v>
      </c>
      <c r="M6" s="376" t="s">
        <v>35</v>
      </c>
      <c r="N6" s="377" t="s">
        <v>108</v>
      </c>
    </row>
    <row r="7" spans="2:14" ht="12.75">
      <c r="B7" s="91">
        <f t="shared" si="0"/>
        <v>1</v>
      </c>
      <c r="C7" s="91">
        <f t="shared" si="1"/>
        <v>2</v>
      </c>
      <c r="D7" s="344">
        <v>282</v>
      </c>
      <c r="E7" s="390">
        <f t="shared" si="2"/>
        <v>286.35255889520715</v>
      </c>
      <c r="F7" s="390">
        <f aca="true" t="shared" si="5" ref="F7:F38">IF(ISNUMBER(D6),Alpha*E6+(1-Alpha)*F6,NA())</f>
        <v>275.125284738041</v>
      </c>
      <c r="G7" s="392">
        <f t="shared" si="3"/>
        <v>270.94338041002277</v>
      </c>
      <c r="H7" s="390">
        <f t="shared" si="4"/>
        <v>11.056619589977231</v>
      </c>
      <c r="J7" s="29" t="s">
        <v>66</v>
      </c>
      <c r="M7" s="376" t="s">
        <v>67</v>
      </c>
      <c r="N7" s="377" t="s">
        <v>126</v>
      </c>
    </row>
    <row r="8" spans="2:14" ht="12.75">
      <c r="B8" s="91">
        <f t="shared" si="0"/>
        <v>1</v>
      </c>
      <c r="C8" s="91">
        <f t="shared" si="1"/>
        <v>3</v>
      </c>
      <c r="D8" s="344">
        <v>254</v>
      </c>
      <c r="E8" s="390">
        <f t="shared" si="2"/>
        <v>281.19118786671095</v>
      </c>
      <c r="F8" s="390">
        <f t="shared" si="5"/>
        <v>277.3707395694742</v>
      </c>
      <c r="G8" s="392">
        <f t="shared" si="3"/>
        <v>250.54898905310606</v>
      </c>
      <c r="H8" s="390">
        <f t="shared" si="4"/>
        <v>3.4510109468939447</v>
      </c>
      <c r="J8" s="396" t="s">
        <v>68</v>
      </c>
      <c r="K8" s="405">
        <v>275</v>
      </c>
      <c r="M8" s="376" t="s">
        <v>37</v>
      </c>
      <c r="N8" s="377" t="s">
        <v>127</v>
      </c>
    </row>
    <row r="9" spans="2:14" ht="12.75">
      <c r="B9" s="91">
        <f t="shared" si="0"/>
        <v>1</v>
      </c>
      <c r="C9" s="91">
        <f t="shared" si="1"/>
        <v>4</v>
      </c>
      <c r="D9" s="344">
        <v>345</v>
      </c>
      <c r="E9" s="390">
        <f t="shared" si="2"/>
        <v>279.6012642839776</v>
      </c>
      <c r="F9" s="390">
        <f t="shared" si="5"/>
        <v>278.1348292289216</v>
      </c>
      <c r="G9" s="392">
        <f t="shared" si="3"/>
        <v>343.1905657855664</v>
      </c>
      <c r="H9" s="390">
        <f t="shared" si="4"/>
        <v>1.8094342144336224</v>
      </c>
      <c r="M9" s="376" t="s">
        <v>40</v>
      </c>
      <c r="N9" s="377" t="s">
        <v>128</v>
      </c>
    </row>
    <row r="10" spans="2:14" ht="12.75">
      <c r="B10" s="91">
        <f t="shared" si="0"/>
        <v>2</v>
      </c>
      <c r="C10" s="91">
        <f t="shared" si="1"/>
        <v>1</v>
      </c>
      <c r="D10" s="344">
        <v>253</v>
      </c>
      <c r="E10" s="390">
        <f t="shared" si="2"/>
        <v>288.15489749430526</v>
      </c>
      <c r="F10" s="390">
        <f t="shared" si="5"/>
        <v>278.4281162399328</v>
      </c>
      <c r="G10" s="392">
        <f t="shared" si="3"/>
        <v>244.45988605866103</v>
      </c>
      <c r="H10" s="390">
        <f t="shared" si="4"/>
        <v>8.540113941338973</v>
      </c>
      <c r="K10" s="87" t="s">
        <v>94</v>
      </c>
      <c r="M10" s="376" t="s">
        <v>95</v>
      </c>
      <c r="N10" s="377" t="s">
        <v>129</v>
      </c>
    </row>
    <row r="11" spans="2:14" ht="12.75">
      <c r="B11" s="91">
        <f t="shared" si="0"/>
        <v>2</v>
      </c>
      <c r="C11" s="91">
        <f t="shared" si="1"/>
        <v>2</v>
      </c>
      <c r="D11" s="344">
        <v>290</v>
      </c>
      <c r="E11" s="390">
        <f t="shared" si="2"/>
        <v>294.47603574329816</v>
      </c>
      <c r="F11" s="390">
        <f t="shared" si="5"/>
        <v>280.37347249080733</v>
      </c>
      <c r="G11" s="392">
        <f t="shared" si="3"/>
        <v>276.11179570894706</v>
      </c>
      <c r="H11" s="390">
        <f t="shared" si="4"/>
        <v>13.888204291052944</v>
      </c>
      <c r="K11" s="90" t="s">
        <v>97</v>
      </c>
      <c r="M11" s="376" t="s">
        <v>112</v>
      </c>
      <c r="N11" s="377" t="s">
        <v>113</v>
      </c>
    </row>
    <row r="12" spans="2:14" ht="12.75">
      <c r="B12" s="91">
        <f t="shared" si="0"/>
        <v>2</v>
      </c>
      <c r="C12" s="91">
        <f t="shared" si="1"/>
        <v>3</v>
      </c>
      <c r="D12" s="344">
        <v>262</v>
      </c>
      <c r="E12" s="390">
        <f t="shared" si="2"/>
        <v>290.0476032325916</v>
      </c>
      <c r="F12" s="390">
        <f t="shared" si="5"/>
        <v>283.1939851413055</v>
      </c>
      <c r="G12" s="392">
        <f t="shared" si="3"/>
        <v>255.80912677814126</v>
      </c>
      <c r="H12" s="390">
        <f t="shared" si="4"/>
        <v>6.1908732218587375</v>
      </c>
      <c r="M12" s="376" t="s">
        <v>114</v>
      </c>
      <c r="N12" s="377" t="s">
        <v>115</v>
      </c>
    </row>
    <row r="13" spans="2:14" ht="12.75">
      <c r="B13" s="91">
        <f t="shared" si="0"/>
        <v>2</v>
      </c>
      <c r="C13" s="91">
        <f t="shared" si="1"/>
        <v>4</v>
      </c>
      <c r="D13" s="344">
        <v>352</v>
      </c>
      <c r="E13" s="390">
        <f t="shared" si="2"/>
        <v>285.27433341437717</v>
      </c>
      <c r="F13" s="390">
        <f t="shared" si="5"/>
        <v>284.5647087595628</v>
      </c>
      <c r="G13" s="392">
        <f t="shared" si="3"/>
        <v>351.1243941384245</v>
      </c>
      <c r="H13" s="390">
        <f t="shared" si="4"/>
        <v>0.8756058615754796</v>
      </c>
      <c r="J13" s="87" t="str">
        <f>IF(TypeOfSeasonality="Quarterly","Quarter",IF(TypeOfSeasonality="Monthly","Month","Day"))</f>
        <v>Quarter</v>
      </c>
      <c r="K13" s="87" t="s">
        <v>102</v>
      </c>
      <c r="M13" s="376" t="s">
        <v>43</v>
      </c>
      <c r="N13" s="377" t="s">
        <v>116</v>
      </c>
    </row>
    <row r="14" spans="2:14" ht="13.5" thickBot="1">
      <c r="B14" s="91">
        <f t="shared" si="0"/>
        <v>3</v>
      </c>
      <c r="C14" s="91">
        <f t="shared" si="1"/>
        <v>1</v>
      </c>
      <c r="D14" s="344">
        <v>270</v>
      </c>
      <c r="E14" s="390">
        <f t="shared" si="2"/>
        <v>307.51708428246013</v>
      </c>
      <c r="F14" s="390">
        <f t="shared" si="5"/>
        <v>284.7066336905257</v>
      </c>
      <c r="G14" s="392">
        <f t="shared" si="3"/>
        <v>249.97242438028155</v>
      </c>
      <c r="H14" s="390">
        <f t="shared" si="4"/>
        <v>20.027575619718448</v>
      </c>
      <c r="J14" s="91">
        <f>IF(TypeOfSeasonality="Quarterly",1,IF(TypeOfSeasonality="Monthly","Jan","Mon"))</f>
        <v>1</v>
      </c>
      <c r="K14" s="402">
        <v>0.878</v>
      </c>
      <c r="M14" s="380" t="s">
        <v>99</v>
      </c>
      <c r="N14" s="381" t="s">
        <v>0</v>
      </c>
    </row>
    <row r="15" spans="2:11" ht="12.75">
      <c r="B15" s="91">
        <f t="shared" si="0"/>
        <v>3</v>
      </c>
      <c r="C15" s="91">
        <f t="shared" si="1"/>
        <v>2</v>
      </c>
      <c r="D15" s="344">
        <v>286</v>
      </c>
      <c r="E15" s="390">
        <f t="shared" si="2"/>
        <v>290.4142973192526</v>
      </c>
      <c r="F15" s="390">
        <f t="shared" si="5"/>
        <v>289.26872380891257</v>
      </c>
      <c r="G15" s="392">
        <f t="shared" si="3"/>
        <v>284.8718392070171</v>
      </c>
      <c r="H15" s="390">
        <f t="shared" si="4"/>
        <v>1.1281607929828965</v>
      </c>
      <c r="J15" s="91">
        <f>IF(TypeOfSeasonality="Quarterly",2,IF(TypeOfSeasonality="Monthly","Feb","Tue"))</f>
        <v>2</v>
      </c>
      <c r="K15" s="402">
        <v>0.9848</v>
      </c>
    </row>
    <row r="16" spans="2:11" ht="12.75">
      <c r="B16" s="91">
        <f t="shared" si="0"/>
        <v>3</v>
      </c>
      <c r="C16" s="91">
        <f t="shared" si="1"/>
        <v>3</v>
      </c>
      <c r="D16" s="344">
        <v>271</v>
      </c>
      <c r="E16" s="390">
        <f t="shared" si="2"/>
        <v>300.01107051920735</v>
      </c>
      <c r="F16" s="390">
        <f t="shared" si="5"/>
        <v>289.4978385109806</v>
      </c>
      <c r="G16" s="392">
        <f t="shared" si="3"/>
        <v>261.5033975269688</v>
      </c>
      <c r="H16" s="390">
        <f t="shared" si="4"/>
        <v>9.496602473031203</v>
      </c>
      <c r="J16" s="91">
        <f>IF(TypeOfSeasonality="Quarterly",3,IF(TypeOfSeasonality="Monthly","Mar","Wed"))</f>
        <v>3</v>
      </c>
      <c r="K16" s="402">
        <v>0.9033</v>
      </c>
    </row>
    <row r="17" spans="2:11" ht="12.75">
      <c r="B17" s="91">
        <f t="shared" si="0"/>
        <v>3</v>
      </c>
      <c r="C17" s="91">
        <f t="shared" si="1"/>
        <v>4</v>
      </c>
      <c r="D17" s="344">
        <v>378</v>
      </c>
      <c r="E17" s="390">
        <f t="shared" si="2"/>
        <v>306.3457330415755</v>
      </c>
      <c r="F17" s="390">
        <f t="shared" si="5"/>
        <v>291.600484912626</v>
      </c>
      <c r="G17" s="392">
        <f t="shared" si="3"/>
        <v>359.80583833368917</v>
      </c>
      <c r="H17" s="390">
        <f t="shared" si="4"/>
        <v>18.194161666310833</v>
      </c>
      <c r="J17" s="91">
        <f>IF(TypeOfSeasonality="Quarterly",4,IF(TypeOfSeasonality="Monthly","Apr","Thur"))</f>
        <v>4</v>
      </c>
      <c r="K17" s="402">
        <v>1.2339</v>
      </c>
    </row>
    <row r="18" spans="2:11" ht="12.75">
      <c r="B18" s="91">
        <f t="shared" si="0"/>
        <v>4</v>
      </c>
      <c r="C18" s="91">
        <f t="shared" si="1"/>
        <v>1</v>
      </c>
      <c r="D18" s="385"/>
      <c r="E18" s="390" t="e">
        <f t="shared" si="2"/>
        <v>#N/A</v>
      </c>
      <c r="F18" s="390">
        <f t="shared" si="5"/>
        <v>294.5495345384159</v>
      </c>
      <c r="G18" s="392">
        <f t="shared" si="3"/>
        <v>258.61449132472916</v>
      </c>
      <c r="H18" s="390">
        <f t="shared" si="4"/>
      </c>
      <c r="J18" s="91">
        <f>IF(TypeOfSeasonality="Quarterly","",IF(TypeOfSeasonality="Monthly","May","Fri"))</f>
      </c>
      <c r="K18" s="393">
        <v>1</v>
      </c>
    </row>
    <row r="19" spans="2:11" ht="12.75">
      <c r="B19" s="91">
        <f t="shared" si="0"/>
        <v>4</v>
      </c>
      <c r="C19" s="91">
        <f t="shared" si="1"/>
        <v>2</v>
      </c>
      <c r="D19" s="385"/>
      <c r="E19" s="390" t="e">
        <f t="shared" si="2"/>
        <v>#N/A</v>
      </c>
      <c r="F19" s="390" t="e">
        <f t="shared" si="5"/>
        <v>#N/A</v>
      </c>
      <c r="G19" s="392">
        <f t="shared" si="3"/>
      </c>
      <c r="H19" s="390">
        <f t="shared" si="4"/>
      </c>
      <c r="J19" s="91">
        <f>IF(TypeOfSeasonality="Monthly","June","")</f>
      </c>
      <c r="K19" s="393">
        <v>1</v>
      </c>
    </row>
    <row r="20" spans="2:11" ht="12.75">
      <c r="B20" s="91">
        <f t="shared" si="0"/>
        <v>4</v>
      </c>
      <c r="C20" s="91">
        <f t="shared" si="1"/>
        <v>3</v>
      </c>
      <c r="D20" s="90"/>
      <c r="E20" s="390" t="e">
        <f t="shared" si="2"/>
        <v>#N/A</v>
      </c>
      <c r="F20" s="390" t="e">
        <f t="shared" si="5"/>
        <v>#N/A</v>
      </c>
      <c r="G20" s="392">
        <f t="shared" si="3"/>
      </c>
      <c r="H20" s="390">
        <f t="shared" si="4"/>
      </c>
      <c r="J20" s="91">
        <f>IF(TypeOfSeasonality="Monthly","July","")</f>
      </c>
      <c r="K20" s="393">
        <v>1</v>
      </c>
    </row>
    <row r="21" spans="2:11" ht="12.75">
      <c r="B21" s="91">
        <f t="shared" si="0"/>
        <v>4</v>
      </c>
      <c r="C21" s="91">
        <f t="shared" si="1"/>
        <v>4</v>
      </c>
      <c r="D21" s="90"/>
      <c r="E21" s="390" t="e">
        <f t="shared" si="2"/>
        <v>#N/A</v>
      </c>
      <c r="F21" s="390" t="e">
        <f t="shared" si="5"/>
        <v>#N/A</v>
      </c>
      <c r="G21" s="392">
        <f t="shared" si="3"/>
      </c>
      <c r="H21" s="390">
        <f t="shared" si="4"/>
      </c>
      <c r="J21" s="91">
        <f>IF(TypeOfSeasonality="Monthly","Aug","")</f>
      </c>
      <c r="K21" s="393">
        <v>1</v>
      </c>
    </row>
    <row r="22" spans="2:11" ht="12.75">
      <c r="B22" s="91">
        <f t="shared" si="0"/>
        <v>5</v>
      </c>
      <c r="C22" s="91">
        <f t="shared" si="1"/>
        <v>1</v>
      </c>
      <c r="D22" s="90"/>
      <c r="E22" s="390" t="e">
        <f t="shared" si="2"/>
        <v>#N/A</v>
      </c>
      <c r="F22" s="390" t="e">
        <f t="shared" si="5"/>
        <v>#N/A</v>
      </c>
      <c r="G22" s="392">
        <f t="shared" si="3"/>
      </c>
      <c r="H22" s="390">
        <f t="shared" si="4"/>
      </c>
      <c r="J22" s="91">
        <f>IF(TypeOfSeasonality="Monthly","Sep","")</f>
      </c>
      <c r="K22" s="393">
        <v>1</v>
      </c>
    </row>
    <row r="23" spans="2:11" ht="12.75">
      <c r="B23" s="91">
        <f t="shared" si="0"/>
        <v>5</v>
      </c>
      <c r="C23" s="91">
        <f t="shared" si="1"/>
        <v>2</v>
      </c>
      <c r="D23" s="90"/>
      <c r="E23" s="390" t="e">
        <f t="shared" si="2"/>
        <v>#N/A</v>
      </c>
      <c r="F23" s="390" t="e">
        <f t="shared" si="5"/>
        <v>#N/A</v>
      </c>
      <c r="G23" s="392">
        <f t="shared" si="3"/>
      </c>
      <c r="H23" s="390">
        <f t="shared" si="4"/>
      </c>
      <c r="J23" s="91">
        <f>IF(TypeOfSeasonality="Monthly","Oct","")</f>
      </c>
      <c r="K23" s="393">
        <v>1</v>
      </c>
    </row>
    <row r="24" spans="2:11" ht="12.75">
      <c r="B24" s="91">
        <f t="shared" si="0"/>
        <v>5</v>
      </c>
      <c r="C24" s="91">
        <f t="shared" si="1"/>
        <v>3</v>
      </c>
      <c r="D24" s="90"/>
      <c r="E24" s="390" t="e">
        <f t="shared" si="2"/>
        <v>#N/A</v>
      </c>
      <c r="F24" s="390" t="e">
        <f t="shared" si="5"/>
        <v>#N/A</v>
      </c>
      <c r="G24" s="392">
        <f t="shared" si="3"/>
      </c>
      <c r="H24" s="390">
        <f t="shared" si="4"/>
      </c>
      <c r="J24" s="91">
        <f>IF(TypeOfSeasonality="Monthly","Nov","")</f>
      </c>
      <c r="K24" s="393">
        <v>1</v>
      </c>
    </row>
    <row r="25" spans="2:11" ht="12.75">
      <c r="B25" s="91">
        <f t="shared" si="0"/>
        <v>5</v>
      </c>
      <c r="C25" s="91">
        <f t="shared" si="1"/>
        <v>4</v>
      </c>
      <c r="D25" s="90"/>
      <c r="E25" s="390" t="e">
        <f t="shared" si="2"/>
        <v>#N/A</v>
      </c>
      <c r="F25" s="390" t="e">
        <f t="shared" si="5"/>
        <v>#N/A</v>
      </c>
      <c r="G25" s="392">
        <f t="shared" si="3"/>
      </c>
      <c r="H25" s="390">
        <f t="shared" si="4"/>
      </c>
      <c r="J25" s="91">
        <f>IF(TypeOfSeasonality="Monthly","Dec","")</f>
      </c>
      <c r="K25" s="393">
        <v>1</v>
      </c>
    </row>
    <row r="26" spans="2:8" ht="12.75">
      <c r="B26" s="91">
        <f t="shared" si="0"/>
        <v>6</v>
      </c>
      <c r="C26" s="91">
        <f t="shared" si="1"/>
        <v>1</v>
      </c>
      <c r="D26" s="90"/>
      <c r="E26" s="390" t="e">
        <f t="shared" si="2"/>
        <v>#N/A</v>
      </c>
      <c r="F26" s="390" t="e">
        <f t="shared" si="5"/>
        <v>#N/A</v>
      </c>
      <c r="G26" s="392">
        <f t="shared" si="3"/>
      </c>
      <c r="H26" s="390">
        <f t="shared" si="4"/>
      </c>
    </row>
    <row r="27" spans="2:10" ht="13.5" thickBot="1">
      <c r="B27" s="91">
        <f t="shared" si="0"/>
        <v>6</v>
      </c>
      <c r="C27" s="91">
        <f t="shared" si="1"/>
        <v>2</v>
      </c>
      <c r="D27" s="90"/>
      <c r="E27" s="390" t="e">
        <f t="shared" si="2"/>
        <v>#N/A</v>
      </c>
      <c r="F27" s="390" t="e">
        <f t="shared" si="5"/>
        <v>#N/A</v>
      </c>
      <c r="G27" s="392">
        <f t="shared" si="3"/>
      </c>
      <c r="H27" s="390">
        <f t="shared" si="4"/>
      </c>
      <c r="J27" s="29" t="s">
        <v>32</v>
      </c>
    </row>
    <row r="28" spans="2:11" ht="13.5" thickBot="1">
      <c r="B28" s="91">
        <f t="shared" si="0"/>
        <v>6</v>
      </c>
      <c r="C28" s="91">
        <f t="shared" si="1"/>
        <v>3</v>
      </c>
      <c r="D28" s="90"/>
      <c r="E28" s="390" t="e">
        <f t="shared" si="2"/>
        <v>#N/A</v>
      </c>
      <c r="F28" s="390" t="e">
        <f t="shared" si="5"/>
        <v>#N/A</v>
      </c>
      <c r="G28" s="392">
        <f t="shared" si="3"/>
      </c>
      <c r="H28" s="390">
        <f t="shared" si="4"/>
      </c>
      <c r="J28" s="394" t="s">
        <v>34</v>
      </c>
      <c r="K28" s="395">
        <f>AVERAGE(ForecastingError)</f>
        <v>7.934030218264527</v>
      </c>
    </row>
    <row r="29" spans="2:8" ht="12.75">
      <c r="B29" s="91">
        <f t="shared" si="0"/>
        <v>6</v>
      </c>
      <c r="C29" s="91">
        <f t="shared" si="1"/>
        <v>4</v>
      </c>
      <c r="D29" s="90"/>
      <c r="E29" s="390" t="e">
        <f t="shared" si="2"/>
        <v>#N/A</v>
      </c>
      <c r="F29" s="390" t="e">
        <f t="shared" si="5"/>
        <v>#N/A</v>
      </c>
      <c r="G29" s="392">
        <f t="shared" si="3"/>
      </c>
      <c r="H29" s="390">
        <f t="shared" si="4"/>
      </c>
    </row>
    <row r="30" spans="2:10" ht="13.5" thickBot="1">
      <c r="B30" s="91">
        <f t="shared" si="0"/>
        <v>7</v>
      </c>
      <c r="C30" s="91">
        <f t="shared" si="1"/>
        <v>1</v>
      </c>
      <c r="D30" s="90"/>
      <c r="E30" s="390" t="e">
        <f t="shared" si="2"/>
        <v>#N/A</v>
      </c>
      <c r="F30" s="390" t="e">
        <f t="shared" si="5"/>
        <v>#N/A</v>
      </c>
      <c r="G30" s="392">
        <f t="shared" si="3"/>
      </c>
      <c r="H30" s="390">
        <f t="shared" si="4"/>
      </c>
      <c r="J30" s="29" t="s">
        <v>39</v>
      </c>
    </row>
    <row r="31" spans="1:11" ht="13.5" thickBot="1">
      <c r="A31" s="91"/>
      <c r="B31" s="91">
        <f t="shared" si="0"/>
        <v>7</v>
      </c>
      <c r="C31" s="91">
        <f t="shared" si="1"/>
        <v>2</v>
      </c>
      <c r="D31" s="90"/>
      <c r="E31" s="390" t="e">
        <f t="shared" si="2"/>
        <v>#N/A</v>
      </c>
      <c r="F31" s="390" t="e">
        <f t="shared" si="5"/>
        <v>#N/A</v>
      </c>
      <c r="G31" s="392">
        <f t="shared" si="3"/>
      </c>
      <c r="H31" s="390">
        <f t="shared" si="4"/>
      </c>
      <c r="I31" s="91"/>
      <c r="J31" s="396" t="s">
        <v>42</v>
      </c>
      <c r="K31" s="403">
        <f>SUMSQ(ForecastingError)/COUNT(ForecastingError)</f>
        <v>105.51947801445344</v>
      </c>
    </row>
    <row r="32" spans="1:10" ht="12.75">
      <c r="A32" s="91"/>
      <c r="B32" s="91">
        <f t="shared" si="0"/>
        <v>7</v>
      </c>
      <c r="C32" s="91">
        <f t="shared" si="1"/>
        <v>3</v>
      </c>
      <c r="D32" s="90"/>
      <c r="E32" s="390" t="e">
        <f t="shared" si="2"/>
        <v>#N/A</v>
      </c>
      <c r="F32" s="390" t="e">
        <f t="shared" si="5"/>
        <v>#N/A</v>
      </c>
      <c r="G32" s="392">
        <f t="shared" si="3"/>
      </c>
      <c r="H32" s="390">
        <f t="shared" si="4"/>
      </c>
      <c r="I32" s="91"/>
      <c r="J32" s="91"/>
    </row>
    <row r="33" spans="1:10" ht="12.75">
      <c r="A33" s="91"/>
      <c r="B33" s="91">
        <f t="shared" si="0"/>
        <v>7</v>
      </c>
      <c r="C33" s="91">
        <f t="shared" si="1"/>
        <v>4</v>
      </c>
      <c r="D33" s="90"/>
      <c r="E33" s="390" t="e">
        <f t="shared" si="2"/>
        <v>#N/A</v>
      </c>
      <c r="F33" s="390" t="e">
        <f t="shared" si="5"/>
        <v>#N/A</v>
      </c>
      <c r="G33" s="392">
        <f t="shared" si="3"/>
      </c>
      <c r="H33" s="390">
        <f t="shared" si="4"/>
      </c>
      <c r="I33" s="91"/>
      <c r="J33" s="91"/>
    </row>
    <row r="34" spans="1:10" ht="12.75">
      <c r="A34" s="91"/>
      <c r="B34" s="91">
        <f t="shared" si="0"/>
        <v>8</v>
      </c>
      <c r="C34" s="91">
        <f t="shared" si="1"/>
        <v>1</v>
      </c>
      <c r="D34" s="90"/>
      <c r="E34" s="390" t="e">
        <f t="shared" si="2"/>
        <v>#N/A</v>
      </c>
      <c r="F34" s="390" t="e">
        <f t="shared" si="5"/>
        <v>#N/A</v>
      </c>
      <c r="G34" s="392">
        <f t="shared" si="3"/>
      </c>
      <c r="H34" s="390">
        <f t="shared" si="4"/>
      </c>
      <c r="I34" s="91"/>
      <c r="J34" s="91"/>
    </row>
    <row r="35" spans="1:10" ht="12.75">
      <c r="A35" s="91"/>
      <c r="B35" s="91">
        <f t="shared" si="0"/>
        <v>8</v>
      </c>
      <c r="C35" s="91">
        <f t="shared" si="1"/>
        <v>2</v>
      </c>
      <c r="D35" s="90"/>
      <c r="E35" s="390" t="e">
        <f t="shared" si="2"/>
        <v>#N/A</v>
      </c>
      <c r="F35" s="390" t="e">
        <f t="shared" si="5"/>
        <v>#N/A</v>
      </c>
      <c r="G35" s="392">
        <f t="shared" si="3"/>
      </c>
      <c r="H35" s="390">
        <f t="shared" si="4"/>
      </c>
      <c r="I35" s="91"/>
      <c r="J35" s="91"/>
    </row>
    <row r="36" spans="1:10" ht="12.75">
      <c r="A36" s="91"/>
      <c r="B36" s="91">
        <f t="shared" si="0"/>
        <v>8</v>
      </c>
      <c r="C36" s="91">
        <f t="shared" si="1"/>
        <v>3</v>
      </c>
      <c r="D36" s="90"/>
      <c r="E36" s="390" t="e">
        <f t="shared" si="2"/>
        <v>#N/A</v>
      </c>
      <c r="F36" s="390" t="e">
        <f t="shared" si="5"/>
        <v>#N/A</v>
      </c>
      <c r="G36" s="392">
        <f t="shared" si="3"/>
      </c>
      <c r="H36" s="390">
        <f t="shared" si="4"/>
      </c>
      <c r="I36" s="91"/>
      <c r="J36" s="91"/>
    </row>
    <row r="37" spans="2:8" ht="12.75">
      <c r="B37" s="91">
        <f t="shared" si="0"/>
        <v>8</v>
      </c>
      <c r="C37" s="91">
        <f t="shared" si="1"/>
        <v>4</v>
      </c>
      <c r="D37" s="90"/>
      <c r="E37" s="390" t="e">
        <f t="shared" si="2"/>
        <v>#N/A</v>
      </c>
      <c r="F37" s="390" t="e">
        <f t="shared" si="5"/>
        <v>#N/A</v>
      </c>
      <c r="G37" s="392">
        <f t="shared" si="3"/>
      </c>
      <c r="H37" s="390">
        <f t="shared" si="4"/>
      </c>
    </row>
    <row r="38" spans="2:8" ht="12.75">
      <c r="B38" s="91">
        <f aca="true" t="shared" si="6" ref="B38:B69">IF(TypeOfSeasonality="Quarterly",TRUNC((ROW(B38)-2)/4),IF(TypeOfSeasonality="Monthly",TRUNC((ROW(B38)+6)/12),TRUNC((ROW(B38)-1)/5)))</f>
        <v>9</v>
      </c>
      <c r="C38" s="91">
        <f aca="true" t="shared" si="7" ref="C38:C69">IF(TypeOfSeasonality="Quarterly",INDEX($J$14:$J$17,MOD(ROW(B38)+2,4)+1,1),IF(TypeOfSeasonality="Monthly",INDEX($J$14:$J$25,MOD(ROW(B38)-6,12)+1,1),INDEX($J$14:$J$18,MOD(ROW(B38)-1,5)+1,1)))</f>
        <v>1</v>
      </c>
      <c r="D38" s="90"/>
      <c r="E38" s="390" t="e">
        <f aca="true" t="shared" si="8" ref="E38:E69">IF(ISNUMBER(TrueValue),TrueValue/VLOOKUP(C38,$J$14:$K$25,2,FALSE),NA())</f>
        <v>#N/A</v>
      </c>
      <c r="F38" s="390" t="e">
        <f t="shared" si="5"/>
        <v>#N/A</v>
      </c>
      <c r="G38" s="392">
        <f aca="true" t="shared" si="9" ref="G38:G69">IF(ISNUMBER(SeasonallyAdjustedForecast),SeasonallyAdjustedForecast*VLOOKUP(C38,$J$14:$K$25,2,FALSE),"")</f>
      </c>
      <c r="H38" s="390">
        <f aca="true" t="shared" si="10" ref="H38:H69">IF(AND(ISNUMBER(TrueValue),ISNUMBER(ActualForecast)),ABS(TrueValue-ActualForecast),"")</f>
      </c>
    </row>
    <row r="39" spans="2:8" ht="12.75">
      <c r="B39" s="91">
        <f t="shared" si="6"/>
        <v>9</v>
      </c>
      <c r="C39" s="91">
        <f t="shared" si="7"/>
        <v>2</v>
      </c>
      <c r="D39" s="90"/>
      <c r="E39" s="390" t="e">
        <f t="shared" si="8"/>
        <v>#N/A</v>
      </c>
      <c r="F39" s="390" t="e">
        <f aca="true" t="shared" si="11" ref="F39:F75">IF(ISNUMBER(D38),Alpha*E38+(1-Alpha)*F38,NA())</f>
        <v>#N/A</v>
      </c>
      <c r="G39" s="392">
        <f t="shared" si="9"/>
      </c>
      <c r="H39" s="390">
        <f t="shared" si="10"/>
      </c>
    </row>
    <row r="40" spans="2:8" ht="12.75">
      <c r="B40" s="91">
        <f t="shared" si="6"/>
        <v>9</v>
      </c>
      <c r="C40" s="91">
        <f t="shared" si="7"/>
        <v>3</v>
      </c>
      <c r="D40" s="90"/>
      <c r="E40" s="390" t="e">
        <f t="shared" si="8"/>
        <v>#N/A</v>
      </c>
      <c r="F40" s="390" t="e">
        <f t="shared" si="11"/>
        <v>#N/A</v>
      </c>
      <c r="G40" s="392">
        <f t="shared" si="9"/>
      </c>
      <c r="H40" s="390">
        <f t="shared" si="10"/>
      </c>
    </row>
    <row r="41" spans="2:8" ht="12.75">
      <c r="B41" s="91">
        <f t="shared" si="6"/>
        <v>9</v>
      </c>
      <c r="C41" s="91">
        <f t="shared" si="7"/>
        <v>4</v>
      </c>
      <c r="D41" s="90"/>
      <c r="E41" s="390" t="e">
        <f t="shared" si="8"/>
        <v>#N/A</v>
      </c>
      <c r="F41" s="390" t="e">
        <f t="shared" si="11"/>
        <v>#N/A</v>
      </c>
      <c r="G41" s="392">
        <f t="shared" si="9"/>
      </c>
      <c r="H41" s="390">
        <f t="shared" si="10"/>
      </c>
    </row>
    <row r="42" spans="2:8" ht="12.75">
      <c r="B42" s="91">
        <f t="shared" si="6"/>
        <v>10</v>
      </c>
      <c r="C42" s="91">
        <f t="shared" si="7"/>
        <v>1</v>
      </c>
      <c r="D42" s="90"/>
      <c r="E42" s="390" t="e">
        <f t="shared" si="8"/>
        <v>#N/A</v>
      </c>
      <c r="F42" s="390" t="e">
        <f t="shared" si="11"/>
        <v>#N/A</v>
      </c>
      <c r="G42" s="392">
        <f t="shared" si="9"/>
      </c>
      <c r="H42" s="390">
        <f t="shared" si="10"/>
      </c>
    </row>
    <row r="43" spans="2:8" ht="12.75">
      <c r="B43" s="91">
        <f t="shared" si="6"/>
        <v>10</v>
      </c>
      <c r="C43" s="91">
        <f t="shared" si="7"/>
        <v>2</v>
      </c>
      <c r="D43" s="90"/>
      <c r="E43" s="390" t="e">
        <f t="shared" si="8"/>
        <v>#N/A</v>
      </c>
      <c r="F43" s="390" t="e">
        <f t="shared" si="11"/>
        <v>#N/A</v>
      </c>
      <c r="G43" s="392">
        <f t="shared" si="9"/>
      </c>
      <c r="H43" s="390">
        <f t="shared" si="10"/>
      </c>
    </row>
    <row r="44" spans="2:8" ht="12.75">
      <c r="B44" s="91">
        <f t="shared" si="6"/>
        <v>10</v>
      </c>
      <c r="C44" s="91">
        <f t="shared" si="7"/>
        <v>3</v>
      </c>
      <c r="D44" s="90"/>
      <c r="E44" s="390" t="e">
        <f t="shared" si="8"/>
        <v>#N/A</v>
      </c>
      <c r="F44" s="390" t="e">
        <f t="shared" si="11"/>
        <v>#N/A</v>
      </c>
      <c r="G44" s="392">
        <f t="shared" si="9"/>
      </c>
      <c r="H44" s="390">
        <f t="shared" si="10"/>
      </c>
    </row>
    <row r="45" spans="2:8" ht="12.75">
      <c r="B45" s="91">
        <f t="shared" si="6"/>
        <v>10</v>
      </c>
      <c r="C45" s="91">
        <f t="shared" si="7"/>
        <v>4</v>
      </c>
      <c r="D45" s="90"/>
      <c r="E45" s="390" t="e">
        <f t="shared" si="8"/>
        <v>#N/A</v>
      </c>
      <c r="F45" s="390" t="e">
        <f t="shared" si="11"/>
        <v>#N/A</v>
      </c>
      <c r="G45" s="392">
        <f t="shared" si="9"/>
      </c>
      <c r="H45" s="390">
        <f t="shared" si="10"/>
      </c>
    </row>
    <row r="46" spans="2:8" ht="12.75">
      <c r="B46" s="91">
        <f t="shared" si="6"/>
        <v>11</v>
      </c>
      <c r="C46" s="91">
        <f t="shared" si="7"/>
        <v>1</v>
      </c>
      <c r="D46" s="90"/>
      <c r="E46" s="390" t="e">
        <f t="shared" si="8"/>
        <v>#N/A</v>
      </c>
      <c r="F46" s="390" t="e">
        <f t="shared" si="11"/>
        <v>#N/A</v>
      </c>
      <c r="G46" s="392">
        <f t="shared" si="9"/>
      </c>
      <c r="H46" s="390">
        <f t="shared" si="10"/>
      </c>
    </row>
    <row r="47" spans="2:8" ht="12.75">
      <c r="B47" s="91">
        <f t="shared" si="6"/>
        <v>11</v>
      </c>
      <c r="C47" s="91">
        <f t="shared" si="7"/>
        <v>2</v>
      </c>
      <c r="D47" s="90"/>
      <c r="E47" s="390" t="e">
        <f t="shared" si="8"/>
        <v>#N/A</v>
      </c>
      <c r="F47" s="390" t="e">
        <f t="shared" si="11"/>
        <v>#N/A</v>
      </c>
      <c r="G47" s="392">
        <f t="shared" si="9"/>
      </c>
      <c r="H47" s="390">
        <f t="shared" si="10"/>
      </c>
    </row>
    <row r="48" spans="2:8" ht="12.75">
      <c r="B48" s="91">
        <f t="shared" si="6"/>
        <v>11</v>
      </c>
      <c r="C48" s="91">
        <f t="shared" si="7"/>
        <v>3</v>
      </c>
      <c r="D48" s="90"/>
      <c r="E48" s="390" t="e">
        <f t="shared" si="8"/>
        <v>#N/A</v>
      </c>
      <c r="F48" s="390" t="e">
        <f t="shared" si="11"/>
        <v>#N/A</v>
      </c>
      <c r="G48" s="392">
        <f t="shared" si="9"/>
      </c>
      <c r="H48" s="390">
        <f t="shared" si="10"/>
      </c>
    </row>
    <row r="49" spans="2:8" ht="12.75">
      <c r="B49" s="91">
        <f t="shared" si="6"/>
        <v>11</v>
      </c>
      <c r="C49" s="91">
        <f t="shared" si="7"/>
        <v>4</v>
      </c>
      <c r="D49" s="90"/>
      <c r="E49" s="390" t="e">
        <f t="shared" si="8"/>
        <v>#N/A</v>
      </c>
      <c r="F49" s="390" t="e">
        <f t="shared" si="11"/>
        <v>#N/A</v>
      </c>
      <c r="G49" s="392">
        <f t="shared" si="9"/>
      </c>
      <c r="H49" s="390">
        <f t="shared" si="10"/>
      </c>
    </row>
    <row r="50" spans="2:8" ht="12.75">
      <c r="B50" s="91">
        <f t="shared" si="6"/>
        <v>12</v>
      </c>
      <c r="C50" s="91">
        <f t="shared" si="7"/>
        <v>1</v>
      </c>
      <c r="D50" s="90"/>
      <c r="E50" s="390" t="e">
        <f t="shared" si="8"/>
        <v>#N/A</v>
      </c>
      <c r="F50" s="390" t="e">
        <f t="shared" si="11"/>
        <v>#N/A</v>
      </c>
      <c r="G50" s="392">
        <f t="shared" si="9"/>
      </c>
      <c r="H50" s="390">
        <f t="shared" si="10"/>
      </c>
    </row>
    <row r="51" spans="2:8" ht="12.75">
      <c r="B51" s="91">
        <f t="shared" si="6"/>
        <v>12</v>
      </c>
      <c r="C51" s="91">
        <f t="shared" si="7"/>
        <v>2</v>
      </c>
      <c r="D51" s="90"/>
      <c r="E51" s="390" t="e">
        <f t="shared" si="8"/>
        <v>#N/A</v>
      </c>
      <c r="F51" s="390" t="e">
        <f t="shared" si="11"/>
        <v>#N/A</v>
      </c>
      <c r="G51" s="392">
        <f t="shared" si="9"/>
      </c>
      <c r="H51" s="390">
        <f t="shared" si="10"/>
      </c>
    </row>
    <row r="52" spans="2:8" ht="12.75">
      <c r="B52" s="91">
        <f t="shared" si="6"/>
        <v>12</v>
      </c>
      <c r="C52" s="91">
        <f t="shared" si="7"/>
        <v>3</v>
      </c>
      <c r="D52" s="90"/>
      <c r="E52" s="390" t="e">
        <f t="shared" si="8"/>
        <v>#N/A</v>
      </c>
      <c r="F52" s="390" t="e">
        <f t="shared" si="11"/>
        <v>#N/A</v>
      </c>
      <c r="G52" s="392">
        <f t="shared" si="9"/>
      </c>
      <c r="H52" s="390">
        <f t="shared" si="10"/>
      </c>
    </row>
    <row r="53" spans="2:8" ht="12.75">
      <c r="B53" s="91">
        <f t="shared" si="6"/>
        <v>12</v>
      </c>
      <c r="C53" s="91">
        <f t="shared" si="7"/>
        <v>4</v>
      </c>
      <c r="D53" s="90"/>
      <c r="E53" s="390" t="e">
        <f t="shared" si="8"/>
        <v>#N/A</v>
      </c>
      <c r="F53" s="390" t="e">
        <f t="shared" si="11"/>
        <v>#N/A</v>
      </c>
      <c r="G53" s="392">
        <f t="shared" si="9"/>
      </c>
      <c r="H53" s="390">
        <f t="shared" si="10"/>
      </c>
    </row>
    <row r="54" spans="2:8" ht="12.75">
      <c r="B54" s="91">
        <f t="shared" si="6"/>
        <v>13</v>
      </c>
      <c r="C54" s="91">
        <f t="shared" si="7"/>
        <v>1</v>
      </c>
      <c r="D54" s="90"/>
      <c r="E54" s="390" t="e">
        <f t="shared" si="8"/>
        <v>#N/A</v>
      </c>
      <c r="F54" s="390" t="e">
        <f t="shared" si="11"/>
        <v>#N/A</v>
      </c>
      <c r="G54" s="392">
        <f t="shared" si="9"/>
      </c>
      <c r="H54" s="390">
        <f t="shared" si="10"/>
      </c>
    </row>
    <row r="55" spans="2:8" ht="12.75">
      <c r="B55" s="91">
        <f t="shared" si="6"/>
        <v>13</v>
      </c>
      <c r="C55" s="91">
        <f t="shared" si="7"/>
        <v>2</v>
      </c>
      <c r="D55" s="90"/>
      <c r="E55" s="390" t="e">
        <f t="shared" si="8"/>
        <v>#N/A</v>
      </c>
      <c r="F55" s="390" t="e">
        <f t="shared" si="11"/>
        <v>#N/A</v>
      </c>
      <c r="G55" s="392">
        <f t="shared" si="9"/>
      </c>
      <c r="H55" s="390">
        <f t="shared" si="10"/>
      </c>
    </row>
    <row r="56" spans="2:8" ht="12.75">
      <c r="B56" s="91">
        <f t="shared" si="6"/>
        <v>13</v>
      </c>
      <c r="C56" s="91">
        <f t="shared" si="7"/>
        <v>3</v>
      </c>
      <c r="D56" s="90"/>
      <c r="E56" s="390" t="e">
        <f t="shared" si="8"/>
        <v>#N/A</v>
      </c>
      <c r="F56" s="390" t="e">
        <f t="shared" si="11"/>
        <v>#N/A</v>
      </c>
      <c r="G56" s="392">
        <f t="shared" si="9"/>
      </c>
      <c r="H56" s="390">
        <f t="shared" si="10"/>
      </c>
    </row>
    <row r="57" spans="2:8" ht="12.75">
      <c r="B57" s="91">
        <f t="shared" si="6"/>
        <v>13</v>
      </c>
      <c r="C57" s="91">
        <f t="shared" si="7"/>
        <v>4</v>
      </c>
      <c r="D57" s="90"/>
      <c r="E57" s="390" t="e">
        <f t="shared" si="8"/>
        <v>#N/A</v>
      </c>
      <c r="F57" s="390" t="e">
        <f t="shared" si="11"/>
        <v>#N/A</v>
      </c>
      <c r="G57" s="392">
        <f t="shared" si="9"/>
      </c>
      <c r="H57" s="390">
        <f t="shared" si="10"/>
      </c>
    </row>
    <row r="58" spans="2:8" ht="12.75">
      <c r="B58" s="91">
        <f t="shared" si="6"/>
        <v>14</v>
      </c>
      <c r="C58" s="91">
        <f t="shared" si="7"/>
        <v>1</v>
      </c>
      <c r="D58" s="90"/>
      <c r="E58" s="390" t="e">
        <f t="shared" si="8"/>
        <v>#N/A</v>
      </c>
      <c r="F58" s="390" t="e">
        <f t="shared" si="11"/>
        <v>#N/A</v>
      </c>
      <c r="G58" s="392">
        <f t="shared" si="9"/>
      </c>
      <c r="H58" s="390">
        <f t="shared" si="10"/>
      </c>
    </row>
    <row r="59" spans="2:8" ht="12.75">
      <c r="B59" s="91">
        <f t="shared" si="6"/>
        <v>14</v>
      </c>
      <c r="C59" s="91">
        <f t="shared" si="7"/>
        <v>2</v>
      </c>
      <c r="D59" s="90"/>
      <c r="E59" s="390" t="e">
        <f t="shared" si="8"/>
        <v>#N/A</v>
      </c>
      <c r="F59" s="390" t="e">
        <f t="shared" si="11"/>
        <v>#N/A</v>
      </c>
      <c r="G59" s="392">
        <f t="shared" si="9"/>
      </c>
      <c r="H59" s="390">
        <f t="shared" si="10"/>
      </c>
    </row>
    <row r="60" spans="2:8" ht="12.75">
      <c r="B60" s="91">
        <f t="shared" si="6"/>
        <v>14</v>
      </c>
      <c r="C60" s="91">
        <f t="shared" si="7"/>
        <v>3</v>
      </c>
      <c r="D60" s="90"/>
      <c r="E60" s="390" t="e">
        <f t="shared" si="8"/>
        <v>#N/A</v>
      </c>
      <c r="F60" s="390" t="e">
        <f t="shared" si="11"/>
        <v>#N/A</v>
      </c>
      <c r="G60" s="392">
        <f t="shared" si="9"/>
      </c>
      <c r="H60" s="390">
        <f t="shared" si="10"/>
      </c>
    </row>
    <row r="61" spans="2:8" ht="12.75">
      <c r="B61" s="91">
        <f t="shared" si="6"/>
        <v>14</v>
      </c>
      <c r="C61" s="91">
        <f t="shared" si="7"/>
        <v>4</v>
      </c>
      <c r="D61" s="90"/>
      <c r="E61" s="390" t="e">
        <f t="shared" si="8"/>
        <v>#N/A</v>
      </c>
      <c r="F61" s="390" t="e">
        <f t="shared" si="11"/>
        <v>#N/A</v>
      </c>
      <c r="G61" s="392">
        <f t="shared" si="9"/>
      </c>
      <c r="H61" s="390">
        <f t="shared" si="10"/>
      </c>
    </row>
    <row r="62" spans="2:8" ht="12.75">
      <c r="B62" s="91">
        <f t="shared" si="6"/>
        <v>15</v>
      </c>
      <c r="C62" s="91">
        <f t="shared" si="7"/>
        <v>1</v>
      </c>
      <c r="D62" s="90"/>
      <c r="E62" s="390" t="e">
        <f t="shared" si="8"/>
        <v>#N/A</v>
      </c>
      <c r="F62" s="390" t="e">
        <f t="shared" si="11"/>
        <v>#N/A</v>
      </c>
      <c r="G62" s="392">
        <f t="shared" si="9"/>
      </c>
      <c r="H62" s="390">
        <f t="shared" si="10"/>
      </c>
    </row>
    <row r="63" spans="2:8" ht="12.75">
      <c r="B63" s="91">
        <f t="shared" si="6"/>
        <v>15</v>
      </c>
      <c r="C63" s="91">
        <f t="shared" si="7"/>
        <v>2</v>
      </c>
      <c r="D63" s="90"/>
      <c r="E63" s="390" t="e">
        <f t="shared" si="8"/>
        <v>#N/A</v>
      </c>
      <c r="F63" s="390" t="e">
        <f t="shared" si="11"/>
        <v>#N/A</v>
      </c>
      <c r="G63" s="392">
        <f t="shared" si="9"/>
      </c>
      <c r="H63" s="390">
        <f t="shared" si="10"/>
      </c>
    </row>
    <row r="64" spans="2:8" ht="12.75">
      <c r="B64" s="91">
        <f t="shared" si="6"/>
        <v>15</v>
      </c>
      <c r="C64" s="91">
        <f t="shared" si="7"/>
        <v>3</v>
      </c>
      <c r="D64" s="90"/>
      <c r="E64" s="390" t="e">
        <f t="shared" si="8"/>
        <v>#N/A</v>
      </c>
      <c r="F64" s="390" t="e">
        <f t="shared" si="11"/>
        <v>#N/A</v>
      </c>
      <c r="G64" s="392">
        <f t="shared" si="9"/>
      </c>
      <c r="H64" s="390">
        <f t="shared" si="10"/>
      </c>
    </row>
    <row r="65" spans="2:8" ht="12.75">
      <c r="B65" s="91">
        <f t="shared" si="6"/>
        <v>15</v>
      </c>
      <c r="C65" s="91">
        <f t="shared" si="7"/>
        <v>4</v>
      </c>
      <c r="D65" s="90"/>
      <c r="E65" s="390" t="e">
        <f t="shared" si="8"/>
        <v>#N/A</v>
      </c>
      <c r="F65" s="390" t="e">
        <f t="shared" si="11"/>
        <v>#N/A</v>
      </c>
      <c r="G65" s="392">
        <f t="shared" si="9"/>
      </c>
      <c r="H65" s="390">
        <f t="shared" si="10"/>
      </c>
    </row>
    <row r="66" spans="2:8" ht="12.75">
      <c r="B66" s="91">
        <f t="shared" si="6"/>
        <v>16</v>
      </c>
      <c r="C66" s="91">
        <f t="shared" si="7"/>
        <v>1</v>
      </c>
      <c r="D66" s="90"/>
      <c r="E66" s="390" t="e">
        <f t="shared" si="8"/>
        <v>#N/A</v>
      </c>
      <c r="F66" s="390" t="e">
        <f t="shared" si="11"/>
        <v>#N/A</v>
      </c>
      <c r="G66" s="392">
        <f t="shared" si="9"/>
      </c>
      <c r="H66" s="390">
        <f t="shared" si="10"/>
      </c>
    </row>
    <row r="67" spans="2:8" ht="12.75">
      <c r="B67" s="91">
        <f t="shared" si="6"/>
        <v>16</v>
      </c>
      <c r="C67" s="91">
        <f t="shared" si="7"/>
        <v>2</v>
      </c>
      <c r="D67" s="90"/>
      <c r="E67" s="390" t="e">
        <f t="shared" si="8"/>
        <v>#N/A</v>
      </c>
      <c r="F67" s="390" t="e">
        <f t="shared" si="11"/>
        <v>#N/A</v>
      </c>
      <c r="G67" s="392">
        <f t="shared" si="9"/>
      </c>
      <c r="H67" s="390">
        <f t="shared" si="10"/>
      </c>
    </row>
    <row r="68" spans="2:8" ht="12.75">
      <c r="B68" s="91">
        <f t="shared" si="6"/>
        <v>16</v>
      </c>
      <c r="C68" s="91">
        <f t="shared" si="7"/>
        <v>3</v>
      </c>
      <c r="D68" s="90"/>
      <c r="E68" s="390" t="e">
        <f t="shared" si="8"/>
        <v>#N/A</v>
      </c>
      <c r="F68" s="390" t="e">
        <f t="shared" si="11"/>
        <v>#N/A</v>
      </c>
      <c r="G68" s="392">
        <f t="shared" si="9"/>
      </c>
      <c r="H68" s="390">
        <f t="shared" si="10"/>
      </c>
    </row>
    <row r="69" spans="2:8" ht="12.75">
      <c r="B69" s="91">
        <f t="shared" si="6"/>
        <v>16</v>
      </c>
      <c r="C69" s="91">
        <f t="shared" si="7"/>
        <v>4</v>
      </c>
      <c r="D69" s="90"/>
      <c r="E69" s="390" t="e">
        <f t="shared" si="8"/>
        <v>#N/A</v>
      </c>
      <c r="F69" s="390" t="e">
        <f t="shared" si="11"/>
        <v>#N/A</v>
      </c>
      <c r="G69" s="392">
        <f t="shared" si="9"/>
      </c>
      <c r="H69" s="390">
        <f t="shared" si="10"/>
      </c>
    </row>
    <row r="70" spans="2:8" ht="12.75">
      <c r="B70" s="91">
        <f aca="true" t="shared" si="12" ref="B70:B75">IF(TypeOfSeasonality="Quarterly",TRUNC((ROW(B70)-2)/4),IF(TypeOfSeasonality="Monthly",TRUNC((ROW(B70)+6)/12),TRUNC((ROW(B70)-1)/5)))</f>
        <v>17</v>
      </c>
      <c r="C70" s="91">
        <f aca="true" t="shared" si="13" ref="C70:C75">IF(TypeOfSeasonality="Quarterly",INDEX($J$14:$J$17,MOD(ROW(B70)+2,4)+1,1),IF(TypeOfSeasonality="Monthly",INDEX($J$14:$J$25,MOD(ROW(B70)-6,12)+1,1),INDEX($J$14:$J$18,MOD(ROW(B70)-1,5)+1,1)))</f>
        <v>1</v>
      </c>
      <c r="D70" s="90"/>
      <c r="E70" s="390" t="e">
        <f aca="true" t="shared" si="14" ref="E70:E75">IF(ISNUMBER(TrueValue),TrueValue/VLOOKUP(C70,$J$14:$K$25,2,FALSE),NA())</f>
        <v>#N/A</v>
      </c>
      <c r="F70" s="390" t="e">
        <f t="shared" si="11"/>
        <v>#N/A</v>
      </c>
      <c r="G70" s="392">
        <f aca="true" t="shared" si="15" ref="G70:G75">IF(ISNUMBER(SeasonallyAdjustedForecast),SeasonallyAdjustedForecast*VLOOKUP(C70,$J$14:$K$25,2,FALSE),"")</f>
      </c>
      <c r="H70" s="390">
        <f aca="true" t="shared" si="16" ref="H70:H75">IF(AND(ISNUMBER(TrueValue),ISNUMBER(ActualForecast)),ABS(TrueValue-ActualForecast),"")</f>
      </c>
    </row>
    <row r="71" spans="2:8" ht="12.75">
      <c r="B71" s="91">
        <f t="shared" si="12"/>
        <v>17</v>
      </c>
      <c r="C71" s="91">
        <f t="shared" si="13"/>
        <v>2</v>
      </c>
      <c r="D71" s="90"/>
      <c r="E71" s="390" t="e">
        <f t="shared" si="14"/>
        <v>#N/A</v>
      </c>
      <c r="F71" s="390" t="e">
        <f t="shared" si="11"/>
        <v>#N/A</v>
      </c>
      <c r="G71" s="392">
        <f t="shared" si="15"/>
      </c>
      <c r="H71" s="390">
        <f t="shared" si="16"/>
      </c>
    </row>
    <row r="72" spans="2:8" ht="12.75">
      <c r="B72" s="91">
        <f t="shared" si="12"/>
        <v>17</v>
      </c>
      <c r="C72" s="91">
        <f t="shared" si="13"/>
        <v>3</v>
      </c>
      <c r="D72" s="90"/>
      <c r="E72" s="390" t="e">
        <f t="shared" si="14"/>
        <v>#N/A</v>
      </c>
      <c r="F72" s="390" t="e">
        <f t="shared" si="11"/>
        <v>#N/A</v>
      </c>
      <c r="G72" s="392">
        <f t="shared" si="15"/>
      </c>
      <c r="H72" s="390">
        <f t="shared" si="16"/>
      </c>
    </row>
    <row r="73" spans="2:8" ht="12.75">
      <c r="B73" s="91">
        <f t="shared" si="12"/>
        <v>17</v>
      </c>
      <c r="C73" s="91">
        <f t="shared" si="13"/>
        <v>4</v>
      </c>
      <c r="D73" s="90"/>
      <c r="E73" s="390" t="e">
        <f t="shared" si="14"/>
        <v>#N/A</v>
      </c>
      <c r="F73" s="390" t="e">
        <f t="shared" si="11"/>
        <v>#N/A</v>
      </c>
      <c r="G73" s="392">
        <f t="shared" si="15"/>
      </c>
      <c r="H73" s="390">
        <f t="shared" si="16"/>
      </c>
    </row>
    <row r="74" spans="2:8" ht="12.75">
      <c r="B74" s="91">
        <f t="shared" si="12"/>
        <v>18</v>
      </c>
      <c r="C74" s="91">
        <f t="shared" si="13"/>
        <v>1</v>
      </c>
      <c r="D74" s="90"/>
      <c r="E74" s="390" t="e">
        <f t="shared" si="14"/>
        <v>#N/A</v>
      </c>
      <c r="F74" s="390" t="e">
        <f t="shared" si="11"/>
        <v>#N/A</v>
      </c>
      <c r="G74" s="392">
        <f t="shared" si="15"/>
      </c>
      <c r="H74" s="390">
        <f t="shared" si="16"/>
      </c>
    </row>
    <row r="75" spans="2:8" ht="13.5" thickBot="1">
      <c r="B75" s="91">
        <f t="shared" si="12"/>
        <v>18</v>
      </c>
      <c r="C75" s="91">
        <f t="shared" si="13"/>
        <v>2</v>
      </c>
      <c r="D75" s="90"/>
      <c r="E75" s="390" t="e">
        <f t="shared" si="14"/>
        <v>#N/A</v>
      </c>
      <c r="F75" s="390" t="e">
        <f t="shared" si="11"/>
        <v>#N/A</v>
      </c>
      <c r="G75" s="398">
        <f t="shared" si="15"/>
      </c>
      <c r="H75" s="390">
        <f t="shared" si="16"/>
      </c>
    </row>
    <row r="76" spans="2:8" ht="12.75">
      <c r="B76" s="91"/>
      <c r="C76" s="91"/>
      <c r="D76" s="91"/>
      <c r="E76" s="91"/>
      <c r="F76" s="91"/>
      <c r="G76" s="91"/>
      <c r="H76" s="91"/>
    </row>
  </sheetData>
  <conditionalFormatting sqref="E6:E75">
    <cfRule type="expression" priority="1" dxfId="3" stopIfTrue="1">
      <formula>NOT(ISNUMBER(D6))</formula>
    </cfRule>
  </conditionalFormatting>
  <conditionalFormatting sqref="F6:F75">
    <cfRule type="expression" priority="2" dxfId="3" stopIfTrue="1">
      <formula>NOT(ISNUMBER(F6))</formula>
    </cfRule>
  </conditionalFormatting>
  <conditionalFormatting sqref="K18">
    <cfRule type="expression" priority="3" dxfId="4" stopIfTrue="1">
      <formula>(TypeOfSeasonality="Quarterly")</formula>
    </cfRule>
  </conditionalFormatting>
  <conditionalFormatting sqref="K19:K25">
    <cfRule type="expression" priority="4" dxfId="4" stopIfTrue="1">
      <formula>(TypeOfSeasonality&lt;&gt;"Monthly")</formula>
    </cfRule>
  </conditionalFormatting>
  <dataValidations count="2">
    <dataValidation type="list" allowBlank="1" showInputMessage="1" showErrorMessage="1" sqref="K11">
      <formula1>"Quarterly,Monthly,Daily"</formula1>
    </dataValidation>
    <dataValidation type="decimal" allowBlank="1" showInputMessage="1" showErrorMessage="1" error="The smoothing constant must be between 0 and 1." sqref="K5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portrait" paperSize="9" scale="4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workbookViewId="0" topLeftCell="A1">
      <selection activeCell="A1" sqref="A1"/>
    </sheetView>
  </sheetViews>
  <sheetFormatPr defaultColWidth="9.00390625" defaultRowHeight="12"/>
  <cols>
    <col min="1" max="1" width="2.875" style="30" customWidth="1"/>
    <col min="2" max="2" width="5.25390625" style="30" bestFit="1" customWidth="1"/>
    <col min="3" max="3" width="8.125" style="30" bestFit="1" customWidth="1"/>
    <col min="4" max="4" width="8.75390625" style="30" customWidth="1"/>
    <col min="5" max="5" width="11.00390625" style="30" bestFit="1" customWidth="1"/>
    <col min="6" max="7" width="11.00390625" style="30" customWidth="1"/>
    <col min="8" max="8" width="11.00390625" style="30" bestFit="1" customWidth="1"/>
    <col min="9" max="9" width="9.00390625" style="30" bestFit="1" customWidth="1"/>
    <col min="10" max="10" width="11.875" style="30" bestFit="1" customWidth="1"/>
    <col min="11" max="11" width="2.875" style="30" customWidth="1"/>
    <col min="12" max="12" width="11.75390625" style="30" customWidth="1"/>
    <col min="13" max="13" width="19.00390625" style="30" bestFit="1" customWidth="1"/>
    <col min="14" max="14" width="5.875" style="30" customWidth="1"/>
    <col min="15" max="15" width="26.875" style="30" bestFit="1" customWidth="1"/>
    <col min="16" max="16" width="9.75390625" style="30" bestFit="1" customWidth="1"/>
    <col min="17" max="16384" width="10.875" style="30" customWidth="1"/>
  </cols>
  <sheetData>
    <row r="1" ht="18">
      <c r="A1" s="28" t="s">
        <v>1</v>
      </c>
    </row>
    <row r="2" ht="13.5" thickBot="1"/>
    <row r="3" spans="5:16" ht="13.5" thickBot="1">
      <c r="E3" s="406" t="s">
        <v>104</v>
      </c>
      <c r="F3" s="406"/>
      <c r="G3" s="406"/>
      <c r="H3" s="406" t="s">
        <v>104</v>
      </c>
      <c r="I3" s="355"/>
      <c r="J3" s="355"/>
      <c r="O3" s="388" t="s">
        <v>501</v>
      </c>
      <c r="P3" s="389" t="s">
        <v>502</v>
      </c>
    </row>
    <row r="4" spans="2:16" ht="12.75">
      <c r="B4" s="87"/>
      <c r="C4" s="87"/>
      <c r="D4" s="87" t="s">
        <v>93</v>
      </c>
      <c r="E4" s="406" t="s">
        <v>105</v>
      </c>
      <c r="F4" s="406" t="s">
        <v>72</v>
      </c>
      <c r="G4" s="406" t="s">
        <v>73</v>
      </c>
      <c r="H4" s="406" t="s">
        <v>105</v>
      </c>
      <c r="I4" s="406" t="s">
        <v>360</v>
      </c>
      <c r="J4" s="406" t="s">
        <v>28</v>
      </c>
      <c r="L4" s="29" t="s">
        <v>63</v>
      </c>
      <c r="O4" s="407" t="s">
        <v>106</v>
      </c>
      <c r="P4" s="408" t="s">
        <v>2</v>
      </c>
    </row>
    <row r="5" spans="2:16" ht="13.5" thickBot="1">
      <c r="B5" s="87" t="str">
        <f>IF(TypeOfSeasonality="Daily","Week","Year")</f>
        <v>Year</v>
      </c>
      <c r="C5" s="87" t="str">
        <f>IF(TypeOfSeasonality="Quarterly","Quarter",IF(TypeOfSeasonality="Monthly","Month","Day"))</f>
        <v>Quarter</v>
      </c>
      <c r="D5" s="87" t="s">
        <v>433</v>
      </c>
      <c r="E5" s="406" t="s">
        <v>433</v>
      </c>
      <c r="F5" s="406" t="s">
        <v>75</v>
      </c>
      <c r="G5" s="406" t="s">
        <v>75</v>
      </c>
      <c r="H5" s="406" t="s">
        <v>30</v>
      </c>
      <c r="I5" s="406" t="s">
        <v>30</v>
      </c>
      <c r="J5" s="406" t="s">
        <v>31</v>
      </c>
      <c r="L5" s="404" t="s">
        <v>65</v>
      </c>
      <c r="M5" s="90">
        <v>0.2</v>
      </c>
      <c r="O5" s="376" t="s">
        <v>64</v>
      </c>
      <c r="P5" s="377" t="s">
        <v>3</v>
      </c>
    </row>
    <row r="6" spans="2:16" ht="12.75">
      <c r="B6" s="91">
        <f aca="true" t="shared" si="0" ref="B6:B37">IF(TypeOfSeasonality="Quarterly",TRUNC((ROW(B6)-2)/4),IF(TypeOfSeasonality="Monthly",TRUNC((ROW(B6)+6)/12),TRUNC((ROW(B6)-1)/5)))</f>
        <v>1</v>
      </c>
      <c r="C6" s="91">
        <f aca="true" t="shared" si="1" ref="C6:C37">IF(TypeOfSeasonality="Quarterly",INDEX($L$16:$L$19,MOD(ROW(B6)+2,4)+1,1),IF(TypeOfSeasonality="Monthly",INDEX($L$16:$L$27,MOD(ROW(B6)-6,12)+1,1),INDEX($L$16:$L$20,MOD(ROW(B6)-1,5)+1,1)))</f>
        <v>1</v>
      </c>
      <c r="D6" s="344">
        <v>242</v>
      </c>
      <c r="E6" s="357">
        <f aca="true" t="shared" si="2" ref="E6:E30">IF(ISNUMBER(D6),D6/VLOOKUP(C6,$L$16:$M$27,2,FALSE),NA())</f>
        <v>275.626423690205</v>
      </c>
      <c r="F6" s="357"/>
      <c r="G6" s="413">
        <f>InitialEstimateTrend</f>
        <v>2</v>
      </c>
      <c r="H6" s="357">
        <f>InitialEstimateAverage+InitialEstimateTrend</f>
        <v>277</v>
      </c>
      <c r="I6" s="356">
        <f>H6*M16</f>
        <v>243.206</v>
      </c>
      <c r="J6" s="357">
        <f>ABS(D6-I6)</f>
        <v>1.2059999999999889</v>
      </c>
      <c r="L6" s="404" t="s">
        <v>80</v>
      </c>
      <c r="M6" s="90">
        <v>0.2</v>
      </c>
      <c r="O6" s="376" t="s">
        <v>77</v>
      </c>
      <c r="P6" s="377" t="s">
        <v>4</v>
      </c>
    </row>
    <row r="7" spans="2:16" ht="12.75">
      <c r="B7" s="91">
        <f t="shared" si="0"/>
        <v>1</v>
      </c>
      <c r="C7" s="91">
        <f t="shared" si="1"/>
        <v>2</v>
      </c>
      <c r="D7" s="344">
        <v>282</v>
      </c>
      <c r="E7" s="357">
        <f t="shared" si="2"/>
        <v>286.35255889520715</v>
      </c>
      <c r="F7" s="413">
        <f>IF(ISNUMBER(E6),Alpha*(E6-InitialEstimateAverage)+(1-Alpha)*(H6-InitialEstimateAverage),"")</f>
        <v>1.7252847380410004</v>
      </c>
      <c r="G7" s="413">
        <f aca="true" t="shared" si="3" ref="G7:G38">IF(ISNUMBER(F7),Beta*F7+(1-Beta)*G6,"")</f>
        <v>1.9450569476082002</v>
      </c>
      <c r="H7" s="357">
        <f aca="true" t="shared" si="4" ref="H7:H38">IF(ISNUMBER(D6),Alpha*E6+(1-Alpha)*H6+G7,NA())</f>
        <v>278.6703416856492</v>
      </c>
      <c r="I7" s="359">
        <f aca="true" t="shared" si="5" ref="I7:I30">IF(ISNUMBER(H7),H7*VLOOKUP(C7,$L$16:$M$27,2,FALSE),"")</f>
        <v>274.4345524920273</v>
      </c>
      <c r="J7" s="357">
        <f aca="true" t="shared" si="6" ref="J7:J38">IF(AND(ISNUMBER(D7),ISNUMBER(I7)),ABS(D7-I7),"")</f>
        <v>7.565447507972692</v>
      </c>
      <c r="O7" s="376" t="s">
        <v>35</v>
      </c>
      <c r="P7" s="377" t="s">
        <v>5</v>
      </c>
    </row>
    <row r="8" spans="2:16" ht="12.75">
      <c r="B8" s="91">
        <f t="shared" si="0"/>
        <v>1</v>
      </c>
      <c r="C8" s="91">
        <f t="shared" si="1"/>
        <v>3</v>
      </c>
      <c r="D8" s="344">
        <v>254</v>
      </c>
      <c r="E8" s="357">
        <f t="shared" si="2"/>
        <v>281.19118786671095</v>
      </c>
      <c r="F8" s="413">
        <f aca="true" t="shared" si="7" ref="F8:F39">IF(ISNUMBER(E7),Alpha*(E7-E6)+(1-Alpha)*(H7-H6),"")</f>
        <v>3.4815003895197836</v>
      </c>
      <c r="G8" s="413">
        <f t="shared" si="3"/>
        <v>2.252345635990517</v>
      </c>
      <c r="H8" s="357">
        <f t="shared" si="4"/>
        <v>282.45913076355134</v>
      </c>
      <c r="I8" s="359">
        <f t="shared" si="5"/>
        <v>255.14533281871593</v>
      </c>
      <c r="J8" s="357">
        <f t="shared" si="6"/>
        <v>1.1453328187159286</v>
      </c>
      <c r="L8" s="29" t="s">
        <v>66</v>
      </c>
      <c r="O8" s="376" t="s">
        <v>84</v>
      </c>
      <c r="P8" s="377" t="s">
        <v>6</v>
      </c>
    </row>
    <row r="9" spans="2:16" ht="12.75">
      <c r="B9" s="91">
        <f t="shared" si="0"/>
        <v>1</v>
      </c>
      <c r="C9" s="91">
        <f t="shared" si="1"/>
        <v>4</v>
      </c>
      <c r="D9" s="344">
        <v>345</v>
      </c>
      <c r="E9" s="357">
        <f t="shared" si="2"/>
        <v>279.6012642839776</v>
      </c>
      <c r="F9" s="413">
        <f t="shared" si="7"/>
        <v>1.9987570566224806</v>
      </c>
      <c r="G9" s="413">
        <f t="shared" si="3"/>
        <v>2.20162792011691</v>
      </c>
      <c r="H9" s="357">
        <f t="shared" si="4"/>
        <v>284.4071701043002</v>
      </c>
      <c r="I9" s="359">
        <f t="shared" si="5"/>
        <v>350.930007191696</v>
      </c>
      <c r="J9" s="357">
        <f t="shared" si="6"/>
        <v>5.930007191696006</v>
      </c>
      <c r="L9" s="396" t="s">
        <v>68</v>
      </c>
      <c r="M9" s="385">
        <v>275</v>
      </c>
      <c r="O9" s="376" t="s">
        <v>86</v>
      </c>
      <c r="P9" s="377" t="s">
        <v>7</v>
      </c>
    </row>
    <row r="10" spans="2:16" ht="12.75">
      <c r="B10" s="91">
        <f t="shared" si="0"/>
        <v>2</v>
      </c>
      <c r="C10" s="91">
        <f t="shared" si="1"/>
        <v>1</v>
      </c>
      <c r="D10" s="344">
        <v>253</v>
      </c>
      <c r="E10" s="357">
        <f t="shared" si="2"/>
        <v>288.15489749430526</v>
      </c>
      <c r="F10" s="413">
        <f t="shared" si="7"/>
        <v>1.240446756052404</v>
      </c>
      <c r="G10" s="413">
        <f t="shared" si="3"/>
        <v>2.0093916873040087</v>
      </c>
      <c r="H10" s="357">
        <f t="shared" si="4"/>
        <v>285.4553806275397</v>
      </c>
      <c r="I10" s="359">
        <f t="shared" si="5"/>
        <v>250.62982419097983</v>
      </c>
      <c r="J10" s="357">
        <f t="shared" si="6"/>
        <v>2.370175809020168</v>
      </c>
      <c r="L10" s="396" t="s">
        <v>88</v>
      </c>
      <c r="M10" s="90">
        <v>2</v>
      </c>
      <c r="O10" s="376" t="s">
        <v>37</v>
      </c>
      <c r="P10" s="377" t="s">
        <v>8</v>
      </c>
    </row>
    <row r="11" spans="2:16" ht="12.75">
      <c r="B11" s="91">
        <f t="shared" si="0"/>
        <v>2</v>
      </c>
      <c r="C11" s="91">
        <f t="shared" si="1"/>
        <v>2</v>
      </c>
      <c r="D11" s="344">
        <v>290</v>
      </c>
      <c r="E11" s="357">
        <f t="shared" si="2"/>
        <v>294.47603574329816</v>
      </c>
      <c r="F11" s="413">
        <f t="shared" si="7"/>
        <v>2.54929506065713</v>
      </c>
      <c r="G11" s="413">
        <f t="shared" si="3"/>
        <v>2.117372361974633</v>
      </c>
      <c r="H11" s="357">
        <f t="shared" si="4"/>
        <v>288.1126563628674</v>
      </c>
      <c r="I11" s="359">
        <f t="shared" si="5"/>
        <v>283.73334398615185</v>
      </c>
      <c r="J11" s="357">
        <f t="shared" si="6"/>
        <v>6.266656013848149</v>
      </c>
      <c r="O11" s="376" t="s">
        <v>40</v>
      </c>
      <c r="P11" s="377" t="s">
        <v>9</v>
      </c>
    </row>
    <row r="12" spans="2:16" ht="12.75">
      <c r="B12" s="91">
        <f t="shared" si="0"/>
        <v>2</v>
      </c>
      <c r="C12" s="91">
        <f t="shared" si="1"/>
        <v>3</v>
      </c>
      <c r="D12" s="344">
        <v>262</v>
      </c>
      <c r="E12" s="357">
        <f t="shared" si="2"/>
        <v>290.0476032325916</v>
      </c>
      <c r="F12" s="413">
        <f t="shared" si="7"/>
        <v>3.390048238060774</v>
      </c>
      <c r="G12" s="413">
        <f t="shared" si="3"/>
        <v>2.3719075371918614</v>
      </c>
      <c r="H12" s="357">
        <f t="shared" si="4"/>
        <v>291.75723977614547</v>
      </c>
      <c r="I12" s="359">
        <f t="shared" si="5"/>
        <v>263.5443146897922</v>
      </c>
      <c r="J12" s="357">
        <f t="shared" si="6"/>
        <v>1.544314689792202</v>
      </c>
      <c r="M12" s="87" t="s">
        <v>94</v>
      </c>
      <c r="O12" s="376" t="s">
        <v>95</v>
      </c>
      <c r="P12" s="377" t="s">
        <v>10</v>
      </c>
    </row>
    <row r="13" spans="2:16" ht="12.75">
      <c r="B13" s="91">
        <f t="shared" si="0"/>
        <v>2</v>
      </c>
      <c r="C13" s="91">
        <f t="shared" si="1"/>
        <v>4</v>
      </c>
      <c r="D13" s="344">
        <v>352</v>
      </c>
      <c r="E13" s="357">
        <f t="shared" si="2"/>
        <v>285.27433341437717</v>
      </c>
      <c r="F13" s="413">
        <f t="shared" si="7"/>
        <v>2.029980228481122</v>
      </c>
      <c r="G13" s="413">
        <f t="shared" si="3"/>
        <v>2.3035220754497137</v>
      </c>
      <c r="H13" s="357">
        <f t="shared" si="4"/>
        <v>293.71883454288445</v>
      </c>
      <c r="I13" s="359">
        <f t="shared" si="5"/>
        <v>362.41966994246513</v>
      </c>
      <c r="J13" s="357">
        <f t="shared" si="6"/>
        <v>10.419669942465134</v>
      </c>
      <c r="M13" s="90" t="s">
        <v>97</v>
      </c>
      <c r="O13" s="376" t="s">
        <v>112</v>
      </c>
      <c r="P13" s="377" t="s">
        <v>108</v>
      </c>
    </row>
    <row r="14" spans="2:16" ht="12.75">
      <c r="B14" s="91">
        <f t="shared" si="0"/>
        <v>3</v>
      </c>
      <c r="C14" s="91">
        <f t="shared" si="1"/>
        <v>1</v>
      </c>
      <c r="D14" s="344">
        <v>270</v>
      </c>
      <c r="E14" s="357">
        <f t="shared" si="2"/>
        <v>307.51708428246013</v>
      </c>
      <c r="F14" s="413">
        <f t="shared" si="7"/>
        <v>0.6146218497483005</v>
      </c>
      <c r="G14" s="413">
        <f t="shared" si="3"/>
        <v>1.965742030309431</v>
      </c>
      <c r="H14" s="357">
        <f t="shared" si="4"/>
        <v>293.99567634749246</v>
      </c>
      <c r="I14" s="359">
        <f t="shared" si="5"/>
        <v>258.1282038330984</v>
      </c>
      <c r="J14" s="357">
        <f t="shared" si="6"/>
        <v>11.871796166901618</v>
      </c>
      <c r="O14" s="376" t="s">
        <v>114</v>
      </c>
      <c r="P14" s="377" t="s">
        <v>115</v>
      </c>
    </row>
    <row r="15" spans="2:16" ht="12.75">
      <c r="B15" s="91">
        <f t="shared" si="0"/>
        <v>3</v>
      </c>
      <c r="C15" s="91">
        <f t="shared" si="1"/>
        <v>2</v>
      </c>
      <c r="D15" s="344">
        <v>286</v>
      </c>
      <c r="E15" s="357">
        <f t="shared" si="2"/>
        <v>290.4142973192526</v>
      </c>
      <c r="F15" s="413">
        <f t="shared" si="7"/>
        <v>4.670023617303002</v>
      </c>
      <c r="G15" s="413">
        <f t="shared" si="3"/>
        <v>2.5065983477081453</v>
      </c>
      <c r="H15" s="357">
        <f t="shared" si="4"/>
        <v>299.20655628219413</v>
      </c>
      <c r="I15" s="359">
        <f t="shared" si="5"/>
        <v>294.65861662670477</v>
      </c>
      <c r="J15" s="357">
        <f t="shared" si="6"/>
        <v>8.65861662670477</v>
      </c>
      <c r="L15" s="87" t="str">
        <f>IF(TypeOfSeasonality="Quarterly","Quarter",IF(TypeOfSeasonality="Monthly","Month","Day"))</f>
        <v>Quarter</v>
      </c>
      <c r="M15" s="87" t="s">
        <v>102</v>
      </c>
      <c r="O15" s="376" t="s">
        <v>43</v>
      </c>
      <c r="P15" s="377" t="s">
        <v>116</v>
      </c>
    </row>
    <row r="16" spans="2:16" ht="13.5" thickBot="1">
      <c r="B16" s="91">
        <f t="shared" si="0"/>
        <v>3</v>
      </c>
      <c r="C16" s="91">
        <f t="shared" si="1"/>
        <v>3</v>
      </c>
      <c r="D16" s="344">
        <v>271</v>
      </c>
      <c r="E16" s="357">
        <f t="shared" si="2"/>
        <v>300.01107051920735</v>
      </c>
      <c r="F16" s="413">
        <f t="shared" si="7"/>
        <v>0.7481465551198307</v>
      </c>
      <c r="G16" s="413">
        <f t="shared" si="3"/>
        <v>2.1549079891904825</v>
      </c>
      <c r="H16" s="357">
        <f t="shared" si="4"/>
        <v>299.6030124787963</v>
      </c>
      <c r="I16" s="359">
        <f t="shared" si="5"/>
        <v>270.6314011720967</v>
      </c>
      <c r="J16" s="357">
        <f t="shared" si="6"/>
        <v>0.36859882790332676</v>
      </c>
      <c r="L16" s="91">
        <f>IF(TypeOfSeasonality="Quarterly",1,IF(TypeOfSeasonality="Monthly","Jan","Mon"))</f>
        <v>1</v>
      </c>
      <c r="M16" s="402">
        <v>0.878</v>
      </c>
      <c r="O16" s="380" t="s">
        <v>99</v>
      </c>
      <c r="P16" s="381" t="s">
        <v>11</v>
      </c>
    </row>
    <row r="17" spans="2:13" ht="12.75">
      <c r="B17" s="91">
        <f t="shared" si="0"/>
        <v>3</v>
      </c>
      <c r="C17" s="91">
        <f t="shared" si="1"/>
        <v>4</v>
      </c>
      <c r="D17" s="344">
        <v>378</v>
      </c>
      <c r="E17" s="357">
        <f t="shared" si="2"/>
        <v>306.3457330415755</v>
      </c>
      <c r="F17" s="413">
        <f t="shared" si="7"/>
        <v>2.2365195972726837</v>
      </c>
      <c r="G17" s="413">
        <f t="shared" si="3"/>
        <v>2.171230310806923</v>
      </c>
      <c r="H17" s="357">
        <f t="shared" si="4"/>
        <v>301.85585439768545</v>
      </c>
      <c r="I17" s="359">
        <f t="shared" si="5"/>
        <v>372.4599387413041</v>
      </c>
      <c r="J17" s="357">
        <f t="shared" si="6"/>
        <v>5.540061258695914</v>
      </c>
      <c r="L17" s="91">
        <f>IF(TypeOfSeasonality="Quarterly",2,IF(TypeOfSeasonality="Monthly","Feb","Tue"))</f>
        <v>2</v>
      </c>
      <c r="M17" s="402">
        <v>0.9848</v>
      </c>
    </row>
    <row r="18" spans="2:13" ht="12.75">
      <c r="B18" s="91">
        <f t="shared" si="0"/>
        <v>4</v>
      </c>
      <c r="C18" s="91">
        <f t="shared" si="1"/>
        <v>1</v>
      </c>
      <c r="D18" s="385"/>
      <c r="E18" s="357" t="e">
        <f t="shared" si="2"/>
        <v>#N/A</v>
      </c>
      <c r="F18" s="413">
        <f t="shared" si="7"/>
        <v>3.0692060395849468</v>
      </c>
      <c r="G18" s="413">
        <f t="shared" si="3"/>
        <v>2.3508254565625277</v>
      </c>
      <c r="H18" s="357">
        <f t="shared" si="4"/>
        <v>305.104655583026</v>
      </c>
      <c r="I18" s="359">
        <f t="shared" si="5"/>
        <v>267.88188760189684</v>
      </c>
      <c r="J18" s="357">
        <f t="shared" si="6"/>
      </c>
      <c r="L18" s="91">
        <f>IF(TypeOfSeasonality="Quarterly",3,IF(TypeOfSeasonality="Monthly","Mar","Wed"))</f>
        <v>3</v>
      </c>
      <c r="M18" s="402">
        <v>0.9033</v>
      </c>
    </row>
    <row r="19" spans="2:13" ht="12.75">
      <c r="B19" s="91">
        <f t="shared" si="0"/>
        <v>4</v>
      </c>
      <c r="C19" s="91">
        <f t="shared" si="1"/>
        <v>2</v>
      </c>
      <c r="D19" s="385"/>
      <c r="E19" s="357" t="e">
        <f t="shared" si="2"/>
        <v>#N/A</v>
      </c>
      <c r="F19" s="357">
        <f t="shared" si="7"/>
      </c>
      <c r="G19" s="357">
        <f t="shared" si="3"/>
      </c>
      <c r="H19" s="357" t="e">
        <f t="shared" si="4"/>
        <v>#N/A</v>
      </c>
      <c r="I19" s="359">
        <f t="shared" si="5"/>
      </c>
      <c r="J19" s="357">
        <f t="shared" si="6"/>
      </c>
      <c r="L19" s="91">
        <f>IF(TypeOfSeasonality="Quarterly",4,IF(TypeOfSeasonality="Monthly","Apr","Thur"))</f>
        <v>4</v>
      </c>
      <c r="M19" s="402">
        <v>1.2339</v>
      </c>
    </row>
    <row r="20" spans="2:13" ht="12.75">
      <c r="B20" s="91">
        <f t="shared" si="0"/>
        <v>4</v>
      </c>
      <c r="C20" s="91">
        <f t="shared" si="1"/>
        <v>3</v>
      </c>
      <c r="D20" s="90"/>
      <c r="E20" s="367" t="e">
        <f t="shared" si="2"/>
        <v>#N/A</v>
      </c>
      <c r="F20" s="367">
        <f t="shared" si="7"/>
      </c>
      <c r="G20" s="367">
        <f t="shared" si="3"/>
      </c>
      <c r="H20" s="367" t="e">
        <f t="shared" si="4"/>
        <v>#N/A</v>
      </c>
      <c r="I20" s="409">
        <f t="shared" si="5"/>
      </c>
      <c r="J20" s="367">
        <f t="shared" si="6"/>
      </c>
      <c r="L20" s="91">
        <f>IF(TypeOfSeasonality="Quarterly","",IF(TypeOfSeasonality="Monthly","May","Fri"))</f>
      </c>
      <c r="M20" s="410">
        <v>1</v>
      </c>
    </row>
    <row r="21" spans="2:13" ht="12.75">
      <c r="B21" s="91">
        <f t="shared" si="0"/>
        <v>4</v>
      </c>
      <c r="C21" s="91">
        <f t="shared" si="1"/>
        <v>4</v>
      </c>
      <c r="D21" s="90"/>
      <c r="E21" s="367" t="e">
        <f t="shared" si="2"/>
        <v>#N/A</v>
      </c>
      <c r="F21" s="367">
        <f t="shared" si="7"/>
      </c>
      <c r="G21" s="367">
        <f t="shared" si="3"/>
      </c>
      <c r="H21" s="367" t="e">
        <f t="shared" si="4"/>
        <v>#N/A</v>
      </c>
      <c r="I21" s="409">
        <f t="shared" si="5"/>
      </c>
      <c r="J21" s="367">
        <f t="shared" si="6"/>
      </c>
      <c r="L21" s="91">
        <f>IF(TypeOfSeasonality="Monthly","June","")</f>
      </c>
      <c r="M21" s="410">
        <v>1</v>
      </c>
    </row>
    <row r="22" spans="2:13" ht="12.75">
      <c r="B22" s="91">
        <f t="shared" si="0"/>
        <v>5</v>
      </c>
      <c r="C22" s="91">
        <f t="shared" si="1"/>
        <v>1</v>
      </c>
      <c r="D22" s="90"/>
      <c r="E22" s="367" t="e">
        <f t="shared" si="2"/>
        <v>#N/A</v>
      </c>
      <c r="F22" s="367">
        <f t="shared" si="7"/>
      </c>
      <c r="G22" s="367">
        <f t="shared" si="3"/>
      </c>
      <c r="H22" s="367" t="e">
        <f t="shared" si="4"/>
        <v>#N/A</v>
      </c>
      <c r="I22" s="409">
        <f t="shared" si="5"/>
      </c>
      <c r="J22" s="367">
        <f t="shared" si="6"/>
      </c>
      <c r="L22" s="91">
        <f>IF(TypeOfSeasonality="Monthly","July","")</f>
      </c>
      <c r="M22" s="410">
        <v>1</v>
      </c>
    </row>
    <row r="23" spans="2:13" ht="12.75">
      <c r="B23" s="91">
        <f t="shared" si="0"/>
        <v>5</v>
      </c>
      <c r="C23" s="91">
        <f t="shared" si="1"/>
        <v>2</v>
      </c>
      <c r="D23" s="90"/>
      <c r="E23" s="367" t="e">
        <f t="shared" si="2"/>
        <v>#N/A</v>
      </c>
      <c r="F23" s="367">
        <f t="shared" si="7"/>
      </c>
      <c r="G23" s="367">
        <f t="shared" si="3"/>
      </c>
      <c r="H23" s="367" t="e">
        <f t="shared" si="4"/>
        <v>#N/A</v>
      </c>
      <c r="I23" s="409">
        <f t="shared" si="5"/>
      </c>
      <c r="J23" s="367">
        <f t="shared" si="6"/>
      </c>
      <c r="L23" s="91">
        <f>IF(TypeOfSeasonality="Monthly","Aug","")</f>
      </c>
      <c r="M23" s="410">
        <v>1</v>
      </c>
    </row>
    <row r="24" spans="2:13" ht="12.75">
      <c r="B24" s="91">
        <f t="shared" si="0"/>
        <v>5</v>
      </c>
      <c r="C24" s="91">
        <f t="shared" si="1"/>
        <v>3</v>
      </c>
      <c r="D24" s="90"/>
      <c r="E24" s="367" t="e">
        <f t="shared" si="2"/>
        <v>#N/A</v>
      </c>
      <c r="F24" s="367">
        <f t="shared" si="7"/>
      </c>
      <c r="G24" s="367">
        <f t="shared" si="3"/>
      </c>
      <c r="H24" s="367" t="e">
        <f t="shared" si="4"/>
        <v>#N/A</v>
      </c>
      <c r="I24" s="409">
        <f t="shared" si="5"/>
      </c>
      <c r="J24" s="367">
        <f t="shared" si="6"/>
      </c>
      <c r="L24" s="91">
        <f>IF(TypeOfSeasonality="Monthly","Sep","")</f>
      </c>
      <c r="M24" s="410">
        <v>1</v>
      </c>
    </row>
    <row r="25" spans="2:13" ht="12.75">
      <c r="B25" s="91">
        <f t="shared" si="0"/>
        <v>5</v>
      </c>
      <c r="C25" s="91">
        <f t="shared" si="1"/>
        <v>4</v>
      </c>
      <c r="D25" s="90"/>
      <c r="E25" s="367" t="e">
        <f t="shared" si="2"/>
        <v>#N/A</v>
      </c>
      <c r="F25" s="367">
        <f t="shared" si="7"/>
      </c>
      <c r="G25" s="367">
        <f t="shared" si="3"/>
      </c>
      <c r="H25" s="367" t="e">
        <f t="shared" si="4"/>
        <v>#N/A</v>
      </c>
      <c r="I25" s="409">
        <f t="shared" si="5"/>
      </c>
      <c r="J25" s="367">
        <f t="shared" si="6"/>
      </c>
      <c r="L25" s="91">
        <f>IF(TypeOfSeasonality="Monthly","Oct","")</f>
      </c>
      <c r="M25" s="410">
        <v>1</v>
      </c>
    </row>
    <row r="26" spans="2:13" ht="12.75">
      <c r="B26" s="91">
        <f t="shared" si="0"/>
        <v>6</v>
      </c>
      <c r="C26" s="91">
        <f t="shared" si="1"/>
        <v>1</v>
      </c>
      <c r="D26" s="90"/>
      <c r="E26" s="367" t="e">
        <f t="shared" si="2"/>
        <v>#N/A</v>
      </c>
      <c r="F26" s="367">
        <f t="shared" si="7"/>
      </c>
      <c r="G26" s="367">
        <f t="shared" si="3"/>
      </c>
      <c r="H26" s="367" t="e">
        <f t="shared" si="4"/>
        <v>#N/A</v>
      </c>
      <c r="I26" s="409">
        <f t="shared" si="5"/>
      </c>
      <c r="J26" s="367">
        <f t="shared" si="6"/>
      </c>
      <c r="L26" s="91">
        <f>IF(TypeOfSeasonality="Monthly","Nov","")</f>
      </c>
      <c r="M26" s="410">
        <v>1</v>
      </c>
    </row>
    <row r="27" spans="2:13" ht="12.75">
      <c r="B27" s="91">
        <f t="shared" si="0"/>
        <v>6</v>
      </c>
      <c r="C27" s="91">
        <f t="shared" si="1"/>
        <v>2</v>
      </c>
      <c r="D27" s="90"/>
      <c r="E27" s="367" t="e">
        <f t="shared" si="2"/>
        <v>#N/A</v>
      </c>
      <c r="F27" s="367">
        <f t="shared" si="7"/>
      </c>
      <c r="G27" s="367">
        <f t="shared" si="3"/>
      </c>
      <c r="H27" s="367" t="e">
        <f t="shared" si="4"/>
        <v>#N/A</v>
      </c>
      <c r="I27" s="409">
        <f t="shared" si="5"/>
      </c>
      <c r="J27" s="367">
        <f t="shared" si="6"/>
      </c>
      <c r="L27" s="91">
        <f>IF(TypeOfSeasonality="Monthly","Dec","")</f>
      </c>
      <c r="M27" s="410">
        <v>1</v>
      </c>
    </row>
    <row r="28" spans="2:10" ht="12.75">
      <c r="B28" s="91">
        <f t="shared" si="0"/>
        <v>6</v>
      </c>
      <c r="C28" s="91">
        <f t="shared" si="1"/>
        <v>3</v>
      </c>
      <c r="D28" s="90"/>
      <c r="E28" s="367" t="e">
        <f t="shared" si="2"/>
        <v>#N/A</v>
      </c>
      <c r="F28" s="367">
        <f t="shared" si="7"/>
      </c>
      <c r="G28" s="367">
        <f t="shared" si="3"/>
      </c>
      <c r="H28" s="367" t="e">
        <f t="shared" si="4"/>
        <v>#N/A</v>
      </c>
      <c r="I28" s="409">
        <f t="shared" si="5"/>
      </c>
      <c r="J28" s="367">
        <f t="shared" si="6"/>
      </c>
    </row>
    <row r="29" spans="2:12" ht="13.5" thickBot="1">
      <c r="B29" s="91">
        <f t="shared" si="0"/>
        <v>6</v>
      </c>
      <c r="C29" s="91">
        <f t="shared" si="1"/>
        <v>4</v>
      </c>
      <c r="D29" s="90"/>
      <c r="E29" s="367" t="e">
        <f t="shared" si="2"/>
        <v>#N/A</v>
      </c>
      <c r="F29" s="367">
        <f t="shared" si="7"/>
      </c>
      <c r="G29" s="367">
        <f t="shared" si="3"/>
      </c>
      <c r="H29" s="367" t="e">
        <f t="shared" si="4"/>
        <v>#N/A</v>
      </c>
      <c r="I29" s="409">
        <f t="shared" si="5"/>
      </c>
      <c r="J29" s="367">
        <f t="shared" si="6"/>
      </c>
      <c r="L29" s="29" t="s">
        <v>32</v>
      </c>
    </row>
    <row r="30" spans="2:13" ht="13.5" thickBot="1">
      <c r="B30" s="91">
        <f t="shared" si="0"/>
        <v>7</v>
      </c>
      <c r="C30" s="91">
        <f t="shared" si="1"/>
        <v>1</v>
      </c>
      <c r="D30" s="90"/>
      <c r="E30" s="367" t="e">
        <f t="shared" si="2"/>
        <v>#N/A</v>
      </c>
      <c r="F30" s="367">
        <f t="shared" si="7"/>
      </c>
      <c r="G30" s="367">
        <f t="shared" si="3"/>
      </c>
      <c r="H30" s="367" t="e">
        <f t="shared" si="4"/>
        <v>#N/A</v>
      </c>
      <c r="I30" s="409">
        <f t="shared" si="5"/>
      </c>
      <c r="J30" s="367">
        <f t="shared" si="6"/>
      </c>
      <c r="L30" s="394" t="s">
        <v>34</v>
      </c>
      <c r="M30" s="411">
        <f>AVERAGE(ForecastingError)</f>
        <v>5.240556404476325</v>
      </c>
    </row>
    <row r="31" spans="1:11" ht="12.75">
      <c r="A31" s="91"/>
      <c r="B31" s="91">
        <f t="shared" si="0"/>
        <v>7</v>
      </c>
      <c r="C31" s="91">
        <f t="shared" si="1"/>
        <v>2</v>
      </c>
      <c r="D31" s="90"/>
      <c r="E31" s="367" t="e">
        <f aca="true" t="shared" si="8" ref="E31:E75">IF(ISNUMBER(D31),D31/VLOOKUP(C31,$L$17:$M$28,2,FALSE),NA())</f>
        <v>#N/A</v>
      </c>
      <c r="F31" s="367">
        <f t="shared" si="7"/>
      </c>
      <c r="G31" s="367">
        <f t="shared" si="3"/>
      </c>
      <c r="H31" s="367" t="e">
        <f t="shared" si="4"/>
        <v>#N/A</v>
      </c>
      <c r="I31" s="409">
        <f aca="true" t="shared" si="9" ref="I31:I75">IF(ISNUMBER(H31),H31*VLOOKUP(C31,$L$17:$M$28,2,FALSE),"")</f>
      </c>
      <c r="J31" s="367">
        <f t="shared" si="6"/>
      </c>
      <c r="K31" s="91"/>
    </row>
    <row r="32" spans="1:12" ht="13.5" thickBot="1">
      <c r="A32" s="91"/>
      <c r="B32" s="91">
        <f t="shared" si="0"/>
        <v>7</v>
      </c>
      <c r="C32" s="91">
        <f t="shared" si="1"/>
        <v>3</v>
      </c>
      <c r="D32" s="90"/>
      <c r="E32" s="367" t="e">
        <f t="shared" si="8"/>
        <v>#N/A</v>
      </c>
      <c r="F32" s="367">
        <f t="shared" si="7"/>
      </c>
      <c r="G32" s="367">
        <f t="shared" si="3"/>
      </c>
      <c r="H32" s="367" t="e">
        <f t="shared" si="4"/>
        <v>#N/A</v>
      </c>
      <c r="I32" s="409">
        <f t="shared" si="9"/>
      </c>
      <c r="J32" s="367">
        <f t="shared" si="6"/>
      </c>
      <c r="K32" s="91"/>
      <c r="L32" s="29" t="s">
        <v>39</v>
      </c>
    </row>
    <row r="33" spans="1:13" ht="13.5" thickBot="1">
      <c r="A33" s="91"/>
      <c r="B33" s="91">
        <f t="shared" si="0"/>
        <v>7</v>
      </c>
      <c r="C33" s="91">
        <f t="shared" si="1"/>
        <v>4</v>
      </c>
      <c r="D33" s="90"/>
      <c r="E33" s="367" t="e">
        <f t="shared" si="8"/>
        <v>#N/A</v>
      </c>
      <c r="F33" s="367">
        <f t="shared" si="7"/>
      </c>
      <c r="G33" s="367">
        <f t="shared" si="3"/>
      </c>
      <c r="H33" s="367" t="e">
        <f t="shared" si="4"/>
        <v>#N/A</v>
      </c>
      <c r="I33" s="409">
        <f t="shared" si="9"/>
      </c>
      <c r="J33" s="367">
        <f t="shared" si="6"/>
      </c>
      <c r="K33" s="91"/>
      <c r="L33" s="396" t="s">
        <v>42</v>
      </c>
      <c r="M33" s="397">
        <f>SUMSQ(ForecastingError)/COUNT(ForecastingError)</f>
        <v>41.47913958753421</v>
      </c>
    </row>
    <row r="34" spans="1:12" ht="12.75">
      <c r="A34" s="91"/>
      <c r="B34" s="91">
        <f t="shared" si="0"/>
        <v>8</v>
      </c>
      <c r="C34" s="91">
        <f t="shared" si="1"/>
        <v>1</v>
      </c>
      <c r="D34" s="90"/>
      <c r="E34" s="367" t="e">
        <f t="shared" si="8"/>
        <v>#N/A</v>
      </c>
      <c r="F34" s="367">
        <f t="shared" si="7"/>
      </c>
      <c r="G34" s="367">
        <f t="shared" si="3"/>
      </c>
      <c r="H34" s="367" t="e">
        <f t="shared" si="4"/>
        <v>#N/A</v>
      </c>
      <c r="I34" s="409">
        <f t="shared" si="9"/>
      </c>
      <c r="J34" s="367">
        <f t="shared" si="6"/>
      </c>
      <c r="K34" s="91"/>
      <c r="L34" s="91"/>
    </row>
    <row r="35" spans="1:12" ht="12.75">
      <c r="A35" s="91"/>
      <c r="B35" s="91">
        <f t="shared" si="0"/>
        <v>8</v>
      </c>
      <c r="C35" s="91">
        <f t="shared" si="1"/>
        <v>2</v>
      </c>
      <c r="D35" s="90"/>
      <c r="E35" s="367" t="e">
        <f t="shared" si="8"/>
        <v>#N/A</v>
      </c>
      <c r="F35" s="367">
        <f t="shared" si="7"/>
      </c>
      <c r="G35" s="367">
        <f t="shared" si="3"/>
      </c>
      <c r="H35" s="367" t="e">
        <f t="shared" si="4"/>
        <v>#N/A</v>
      </c>
      <c r="I35" s="409">
        <f t="shared" si="9"/>
      </c>
      <c r="J35" s="367">
        <f t="shared" si="6"/>
      </c>
      <c r="K35" s="91"/>
      <c r="L35" s="91"/>
    </row>
    <row r="36" spans="1:12" ht="12.75">
      <c r="A36" s="91"/>
      <c r="B36" s="91">
        <f t="shared" si="0"/>
        <v>8</v>
      </c>
      <c r="C36" s="91">
        <f t="shared" si="1"/>
        <v>3</v>
      </c>
      <c r="D36" s="90"/>
      <c r="E36" s="367" t="e">
        <f t="shared" si="8"/>
        <v>#N/A</v>
      </c>
      <c r="F36" s="367">
        <f t="shared" si="7"/>
      </c>
      <c r="G36" s="367">
        <f t="shared" si="3"/>
      </c>
      <c r="H36" s="367" t="e">
        <f t="shared" si="4"/>
        <v>#N/A</v>
      </c>
      <c r="I36" s="409">
        <f t="shared" si="9"/>
      </c>
      <c r="J36" s="367">
        <f t="shared" si="6"/>
      </c>
      <c r="K36" s="91"/>
      <c r="L36" s="91"/>
    </row>
    <row r="37" spans="2:10" ht="12.75">
      <c r="B37" s="91">
        <f t="shared" si="0"/>
        <v>8</v>
      </c>
      <c r="C37" s="91">
        <f t="shared" si="1"/>
        <v>4</v>
      </c>
      <c r="D37" s="90"/>
      <c r="E37" s="367" t="e">
        <f t="shared" si="8"/>
        <v>#N/A</v>
      </c>
      <c r="F37" s="367">
        <f t="shared" si="7"/>
      </c>
      <c r="G37" s="367">
        <f t="shared" si="3"/>
      </c>
      <c r="H37" s="367" t="e">
        <f t="shared" si="4"/>
        <v>#N/A</v>
      </c>
      <c r="I37" s="409">
        <f t="shared" si="9"/>
      </c>
      <c r="J37" s="367">
        <f t="shared" si="6"/>
      </c>
    </row>
    <row r="38" spans="2:10" ht="12.75">
      <c r="B38" s="91">
        <f aca="true" t="shared" si="10" ref="B38:B69">IF(TypeOfSeasonality="Quarterly",TRUNC((ROW(B38)-2)/4),IF(TypeOfSeasonality="Monthly",TRUNC((ROW(B38)+6)/12),TRUNC((ROW(B38)-1)/5)))</f>
        <v>9</v>
      </c>
      <c r="C38" s="91">
        <f aca="true" t="shared" si="11" ref="C38:C69">IF(TypeOfSeasonality="Quarterly",INDEX($L$16:$L$19,MOD(ROW(B38)+2,4)+1,1),IF(TypeOfSeasonality="Monthly",INDEX($L$16:$L$27,MOD(ROW(B38)-6,12)+1,1),INDEX($L$16:$L$20,MOD(ROW(B38)-1,5)+1,1)))</f>
        <v>1</v>
      </c>
      <c r="D38" s="90"/>
      <c r="E38" s="367" t="e">
        <f t="shared" si="8"/>
        <v>#N/A</v>
      </c>
      <c r="F38" s="367">
        <f t="shared" si="7"/>
      </c>
      <c r="G38" s="367">
        <f t="shared" si="3"/>
      </c>
      <c r="H38" s="367" t="e">
        <f t="shared" si="4"/>
        <v>#N/A</v>
      </c>
      <c r="I38" s="409">
        <f t="shared" si="9"/>
      </c>
      <c r="J38" s="367">
        <f t="shared" si="6"/>
      </c>
    </row>
    <row r="39" spans="2:10" ht="12.75">
      <c r="B39" s="91">
        <f t="shared" si="10"/>
        <v>9</v>
      </c>
      <c r="C39" s="91">
        <f t="shared" si="11"/>
        <v>2</v>
      </c>
      <c r="D39" s="90"/>
      <c r="E39" s="367" t="e">
        <f t="shared" si="8"/>
        <v>#N/A</v>
      </c>
      <c r="F39" s="367">
        <f t="shared" si="7"/>
      </c>
      <c r="G39" s="367">
        <f aca="true" t="shared" si="12" ref="G39:G70">IF(ISNUMBER(F39),Beta*F39+(1-Beta)*G38,"")</f>
      </c>
      <c r="H39" s="367" t="e">
        <f aca="true" t="shared" si="13" ref="H39:H70">IF(ISNUMBER(D38),Alpha*E38+(1-Alpha)*H38+G39,NA())</f>
        <v>#N/A</v>
      </c>
      <c r="I39" s="409">
        <f t="shared" si="9"/>
      </c>
      <c r="J39" s="367">
        <f aca="true" t="shared" si="14" ref="J39:J70">IF(AND(ISNUMBER(D39),ISNUMBER(I39)),ABS(D39-I39),"")</f>
      </c>
    </row>
    <row r="40" spans="2:10" ht="12.75">
      <c r="B40" s="91">
        <f t="shared" si="10"/>
        <v>9</v>
      </c>
      <c r="C40" s="91">
        <f t="shared" si="11"/>
        <v>3</v>
      </c>
      <c r="D40" s="90"/>
      <c r="E40" s="367" t="e">
        <f t="shared" si="8"/>
        <v>#N/A</v>
      </c>
      <c r="F40" s="367">
        <f aca="true" t="shared" si="15" ref="F40:F71">IF(ISNUMBER(E39),Alpha*(E39-E38)+(1-Alpha)*(H39-H38),"")</f>
      </c>
      <c r="G40" s="367">
        <f t="shared" si="12"/>
      </c>
      <c r="H40" s="367" t="e">
        <f t="shared" si="13"/>
        <v>#N/A</v>
      </c>
      <c r="I40" s="409">
        <f t="shared" si="9"/>
      </c>
      <c r="J40" s="367">
        <f t="shared" si="14"/>
      </c>
    </row>
    <row r="41" spans="2:10" ht="12.75">
      <c r="B41" s="91">
        <f t="shared" si="10"/>
        <v>9</v>
      </c>
      <c r="C41" s="91">
        <f t="shared" si="11"/>
        <v>4</v>
      </c>
      <c r="D41" s="90"/>
      <c r="E41" s="367" t="e">
        <f t="shared" si="8"/>
        <v>#N/A</v>
      </c>
      <c r="F41" s="367">
        <f t="shared" si="15"/>
      </c>
      <c r="G41" s="367">
        <f t="shared" si="12"/>
      </c>
      <c r="H41" s="367" t="e">
        <f t="shared" si="13"/>
        <v>#N/A</v>
      </c>
      <c r="I41" s="409">
        <f t="shared" si="9"/>
      </c>
      <c r="J41" s="367">
        <f t="shared" si="14"/>
      </c>
    </row>
    <row r="42" spans="2:10" ht="12.75">
      <c r="B42" s="91">
        <f t="shared" si="10"/>
        <v>10</v>
      </c>
      <c r="C42" s="91">
        <f t="shared" si="11"/>
        <v>1</v>
      </c>
      <c r="D42" s="90"/>
      <c r="E42" s="367" t="e">
        <f t="shared" si="8"/>
        <v>#N/A</v>
      </c>
      <c r="F42" s="367">
        <f t="shared" si="15"/>
      </c>
      <c r="G42" s="367">
        <f t="shared" si="12"/>
      </c>
      <c r="H42" s="367" t="e">
        <f t="shared" si="13"/>
        <v>#N/A</v>
      </c>
      <c r="I42" s="409">
        <f t="shared" si="9"/>
      </c>
      <c r="J42" s="367">
        <f t="shared" si="14"/>
      </c>
    </row>
    <row r="43" spans="2:10" ht="12.75">
      <c r="B43" s="91">
        <f t="shared" si="10"/>
        <v>10</v>
      </c>
      <c r="C43" s="91">
        <f t="shared" si="11"/>
        <v>2</v>
      </c>
      <c r="D43" s="90"/>
      <c r="E43" s="367" t="e">
        <f t="shared" si="8"/>
        <v>#N/A</v>
      </c>
      <c r="F43" s="367">
        <f t="shared" si="15"/>
      </c>
      <c r="G43" s="367">
        <f t="shared" si="12"/>
      </c>
      <c r="H43" s="367" t="e">
        <f t="shared" si="13"/>
        <v>#N/A</v>
      </c>
      <c r="I43" s="409">
        <f t="shared" si="9"/>
      </c>
      <c r="J43" s="367">
        <f t="shared" si="14"/>
      </c>
    </row>
    <row r="44" spans="2:10" ht="12.75">
      <c r="B44" s="91">
        <f t="shared" si="10"/>
        <v>10</v>
      </c>
      <c r="C44" s="91">
        <f t="shared" si="11"/>
        <v>3</v>
      </c>
      <c r="D44" s="90"/>
      <c r="E44" s="367" t="e">
        <f t="shared" si="8"/>
        <v>#N/A</v>
      </c>
      <c r="F44" s="367">
        <f t="shared" si="15"/>
      </c>
      <c r="G44" s="367">
        <f t="shared" si="12"/>
      </c>
      <c r="H44" s="367" t="e">
        <f t="shared" si="13"/>
        <v>#N/A</v>
      </c>
      <c r="I44" s="409">
        <f t="shared" si="9"/>
      </c>
      <c r="J44" s="367">
        <f t="shared" si="14"/>
      </c>
    </row>
    <row r="45" spans="2:10" ht="12.75">
      <c r="B45" s="91">
        <f t="shared" si="10"/>
        <v>10</v>
      </c>
      <c r="C45" s="91">
        <f t="shared" si="11"/>
        <v>4</v>
      </c>
      <c r="D45" s="90"/>
      <c r="E45" s="367" t="e">
        <f t="shared" si="8"/>
        <v>#N/A</v>
      </c>
      <c r="F45" s="367">
        <f t="shared" si="15"/>
      </c>
      <c r="G45" s="367">
        <f t="shared" si="12"/>
      </c>
      <c r="H45" s="367" t="e">
        <f t="shared" si="13"/>
        <v>#N/A</v>
      </c>
      <c r="I45" s="409">
        <f t="shared" si="9"/>
      </c>
      <c r="J45" s="367">
        <f t="shared" si="14"/>
      </c>
    </row>
    <row r="46" spans="2:10" ht="12.75">
      <c r="B46" s="91">
        <f t="shared" si="10"/>
        <v>11</v>
      </c>
      <c r="C46" s="91">
        <f t="shared" si="11"/>
        <v>1</v>
      </c>
      <c r="D46" s="90"/>
      <c r="E46" s="367" t="e">
        <f t="shared" si="8"/>
        <v>#N/A</v>
      </c>
      <c r="F46" s="367">
        <f t="shared" si="15"/>
      </c>
      <c r="G46" s="367">
        <f t="shared" si="12"/>
      </c>
      <c r="H46" s="367" t="e">
        <f t="shared" si="13"/>
        <v>#N/A</v>
      </c>
      <c r="I46" s="409">
        <f t="shared" si="9"/>
      </c>
      <c r="J46" s="367">
        <f t="shared" si="14"/>
      </c>
    </row>
    <row r="47" spans="2:10" ht="12.75">
      <c r="B47" s="91">
        <f t="shared" si="10"/>
        <v>11</v>
      </c>
      <c r="C47" s="91">
        <f t="shared" si="11"/>
        <v>2</v>
      </c>
      <c r="D47" s="90"/>
      <c r="E47" s="367" t="e">
        <f t="shared" si="8"/>
        <v>#N/A</v>
      </c>
      <c r="F47" s="367">
        <f t="shared" si="15"/>
      </c>
      <c r="G47" s="367">
        <f t="shared" si="12"/>
      </c>
      <c r="H47" s="367" t="e">
        <f t="shared" si="13"/>
        <v>#N/A</v>
      </c>
      <c r="I47" s="409">
        <f t="shared" si="9"/>
      </c>
      <c r="J47" s="367">
        <f t="shared" si="14"/>
      </c>
    </row>
    <row r="48" spans="2:10" ht="12.75">
      <c r="B48" s="91">
        <f t="shared" si="10"/>
        <v>11</v>
      </c>
      <c r="C48" s="91">
        <f t="shared" si="11"/>
        <v>3</v>
      </c>
      <c r="D48" s="90"/>
      <c r="E48" s="367" t="e">
        <f t="shared" si="8"/>
        <v>#N/A</v>
      </c>
      <c r="F48" s="367">
        <f t="shared" si="15"/>
      </c>
      <c r="G48" s="367">
        <f t="shared" si="12"/>
      </c>
      <c r="H48" s="367" t="e">
        <f t="shared" si="13"/>
        <v>#N/A</v>
      </c>
      <c r="I48" s="409">
        <f t="shared" si="9"/>
      </c>
      <c r="J48" s="367">
        <f t="shared" si="14"/>
      </c>
    </row>
    <row r="49" spans="2:10" ht="12.75">
      <c r="B49" s="91">
        <f t="shared" si="10"/>
        <v>11</v>
      </c>
      <c r="C49" s="91">
        <f t="shared" si="11"/>
        <v>4</v>
      </c>
      <c r="D49" s="90"/>
      <c r="E49" s="367" t="e">
        <f t="shared" si="8"/>
        <v>#N/A</v>
      </c>
      <c r="F49" s="367">
        <f t="shared" si="15"/>
      </c>
      <c r="G49" s="367">
        <f t="shared" si="12"/>
      </c>
      <c r="H49" s="367" t="e">
        <f t="shared" si="13"/>
        <v>#N/A</v>
      </c>
      <c r="I49" s="409">
        <f t="shared" si="9"/>
      </c>
      <c r="J49" s="367">
        <f t="shared" si="14"/>
      </c>
    </row>
    <row r="50" spans="2:10" ht="12.75">
      <c r="B50" s="91">
        <f t="shared" si="10"/>
        <v>12</v>
      </c>
      <c r="C50" s="91">
        <f t="shared" si="11"/>
        <v>1</v>
      </c>
      <c r="D50" s="90"/>
      <c r="E50" s="367" t="e">
        <f t="shared" si="8"/>
        <v>#N/A</v>
      </c>
      <c r="F50" s="367">
        <f t="shared" si="15"/>
      </c>
      <c r="G50" s="367">
        <f t="shared" si="12"/>
      </c>
      <c r="H50" s="367" t="e">
        <f t="shared" si="13"/>
        <v>#N/A</v>
      </c>
      <c r="I50" s="409">
        <f t="shared" si="9"/>
      </c>
      <c r="J50" s="367">
        <f t="shared" si="14"/>
      </c>
    </row>
    <row r="51" spans="2:10" ht="12.75">
      <c r="B51" s="91">
        <f t="shared" si="10"/>
        <v>12</v>
      </c>
      <c r="C51" s="91">
        <f t="shared" si="11"/>
        <v>2</v>
      </c>
      <c r="D51" s="90"/>
      <c r="E51" s="367" t="e">
        <f t="shared" si="8"/>
        <v>#N/A</v>
      </c>
      <c r="F51" s="367">
        <f t="shared" si="15"/>
      </c>
      <c r="G51" s="367">
        <f t="shared" si="12"/>
      </c>
      <c r="H51" s="367" t="e">
        <f t="shared" si="13"/>
        <v>#N/A</v>
      </c>
      <c r="I51" s="409">
        <f t="shared" si="9"/>
      </c>
      <c r="J51" s="367">
        <f t="shared" si="14"/>
      </c>
    </row>
    <row r="52" spans="2:10" ht="12.75">
      <c r="B52" s="91">
        <f t="shared" si="10"/>
        <v>12</v>
      </c>
      <c r="C52" s="91">
        <f t="shared" si="11"/>
        <v>3</v>
      </c>
      <c r="D52" s="90"/>
      <c r="E52" s="367" t="e">
        <f t="shared" si="8"/>
        <v>#N/A</v>
      </c>
      <c r="F52" s="367">
        <f t="shared" si="15"/>
      </c>
      <c r="G52" s="367">
        <f t="shared" si="12"/>
      </c>
      <c r="H52" s="367" t="e">
        <f t="shared" si="13"/>
        <v>#N/A</v>
      </c>
      <c r="I52" s="409">
        <f t="shared" si="9"/>
      </c>
      <c r="J52" s="367">
        <f t="shared" si="14"/>
      </c>
    </row>
    <row r="53" spans="2:10" ht="12.75">
      <c r="B53" s="91">
        <f t="shared" si="10"/>
        <v>12</v>
      </c>
      <c r="C53" s="91">
        <f t="shared" si="11"/>
        <v>4</v>
      </c>
      <c r="D53" s="90"/>
      <c r="E53" s="367" t="e">
        <f t="shared" si="8"/>
        <v>#N/A</v>
      </c>
      <c r="F53" s="367">
        <f t="shared" si="15"/>
      </c>
      <c r="G53" s="367">
        <f t="shared" si="12"/>
      </c>
      <c r="H53" s="367" t="e">
        <f t="shared" si="13"/>
        <v>#N/A</v>
      </c>
      <c r="I53" s="409">
        <f t="shared" si="9"/>
      </c>
      <c r="J53" s="367">
        <f t="shared" si="14"/>
      </c>
    </row>
    <row r="54" spans="2:10" ht="12.75">
      <c r="B54" s="91">
        <f t="shared" si="10"/>
        <v>13</v>
      </c>
      <c r="C54" s="91">
        <f t="shared" si="11"/>
        <v>1</v>
      </c>
      <c r="D54" s="90"/>
      <c r="E54" s="367" t="e">
        <f t="shared" si="8"/>
        <v>#N/A</v>
      </c>
      <c r="F54" s="367">
        <f t="shared" si="15"/>
      </c>
      <c r="G54" s="367">
        <f t="shared" si="12"/>
      </c>
      <c r="H54" s="367" t="e">
        <f t="shared" si="13"/>
        <v>#N/A</v>
      </c>
      <c r="I54" s="409">
        <f t="shared" si="9"/>
      </c>
      <c r="J54" s="367">
        <f t="shared" si="14"/>
      </c>
    </row>
    <row r="55" spans="2:10" ht="12.75">
      <c r="B55" s="91">
        <f t="shared" si="10"/>
        <v>13</v>
      </c>
      <c r="C55" s="91">
        <f t="shared" si="11"/>
        <v>2</v>
      </c>
      <c r="D55" s="90"/>
      <c r="E55" s="367" t="e">
        <f t="shared" si="8"/>
        <v>#N/A</v>
      </c>
      <c r="F55" s="367">
        <f t="shared" si="15"/>
      </c>
      <c r="G55" s="367">
        <f t="shared" si="12"/>
      </c>
      <c r="H55" s="367" t="e">
        <f t="shared" si="13"/>
        <v>#N/A</v>
      </c>
      <c r="I55" s="409">
        <f t="shared" si="9"/>
      </c>
      <c r="J55" s="367">
        <f t="shared" si="14"/>
      </c>
    </row>
    <row r="56" spans="2:10" ht="12.75">
      <c r="B56" s="91">
        <f t="shared" si="10"/>
        <v>13</v>
      </c>
      <c r="C56" s="91">
        <f t="shared" si="11"/>
        <v>3</v>
      </c>
      <c r="D56" s="90"/>
      <c r="E56" s="367" t="e">
        <f t="shared" si="8"/>
        <v>#N/A</v>
      </c>
      <c r="F56" s="367">
        <f t="shared" si="15"/>
      </c>
      <c r="G56" s="367">
        <f t="shared" si="12"/>
      </c>
      <c r="H56" s="367" t="e">
        <f t="shared" si="13"/>
        <v>#N/A</v>
      </c>
      <c r="I56" s="409">
        <f t="shared" si="9"/>
      </c>
      <c r="J56" s="367">
        <f t="shared" si="14"/>
      </c>
    </row>
    <row r="57" spans="2:10" ht="12.75">
      <c r="B57" s="91">
        <f t="shared" si="10"/>
        <v>13</v>
      </c>
      <c r="C57" s="91">
        <f t="shared" si="11"/>
        <v>4</v>
      </c>
      <c r="D57" s="90"/>
      <c r="E57" s="367" t="e">
        <f t="shared" si="8"/>
        <v>#N/A</v>
      </c>
      <c r="F57" s="367">
        <f t="shared" si="15"/>
      </c>
      <c r="G57" s="367">
        <f t="shared" si="12"/>
      </c>
      <c r="H57" s="367" t="e">
        <f t="shared" si="13"/>
        <v>#N/A</v>
      </c>
      <c r="I57" s="409">
        <f t="shared" si="9"/>
      </c>
      <c r="J57" s="367">
        <f t="shared" si="14"/>
      </c>
    </row>
    <row r="58" spans="2:10" ht="12.75">
      <c r="B58" s="91">
        <f t="shared" si="10"/>
        <v>14</v>
      </c>
      <c r="C58" s="91">
        <f t="shared" si="11"/>
        <v>1</v>
      </c>
      <c r="D58" s="90"/>
      <c r="E58" s="367" t="e">
        <f t="shared" si="8"/>
        <v>#N/A</v>
      </c>
      <c r="F58" s="367">
        <f t="shared" si="15"/>
      </c>
      <c r="G58" s="367">
        <f t="shared" si="12"/>
      </c>
      <c r="H58" s="367" t="e">
        <f t="shared" si="13"/>
        <v>#N/A</v>
      </c>
      <c r="I58" s="409">
        <f t="shared" si="9"/>
      </c>
      <c r="J58" s="367">
        <f t="shared" si="14"/>
      </c>
    </row>
    <row r="59" spans="2:10" ht="12.75">
      <c r="B59" s="91">
        <f t="shared" si="10"/>
        <v>14</v>
      </c>
      <c r="C59" s="91">
        <f t="shared" si="11"/>
        <v>2</v>
      </c>
      <c r="D59" s="90"/>
      <c r="E59" s="367" t="e">
        <f t="shared" si="8"/>
        <v>#N/A</v>
      </c>
      <c r="F59" s="367">
        <f t="shared" si="15"/>
      </c>
      <c r="G59" s="367">
        <f t="shared" si="12"/>
      </c>
      <c r="H59" s="367" t="e">
        <f t="shared" si="13"/>
        <v>#N/A</v>
      </c>
      <c r="I59" s="409">
        <f t="shared" si="9"/>
      </c>
      <c r="J59" s="367">
        <f t="shared" si="14"/>
      </c>
    </row>
    <row r="60" spans="2:10" ht="12.75">
      <c r="B60" s="91">
        <f t="shared" si="10"/>
        <v>14</v>
      </c>
      <c r="C60" s="91">
        <f t="shared" si="11"/>
        <v>3</v>
      </c>
      <c r="D60" s="90"/>
      <c r="E60" s="367" t="e">
        <f t="shared" si="8"/>
        <v>#N/A</v>
      </c>
      <c r="F60" s="367">
        <f t="shared" si="15"/>
      </c>
      <c r="G60" s="367">
        <f t="shared" si="12"/>
      </c>
      <c r="H60" s="367" t="e">
        <f t="shared" si="13"/>
        <v>#N/A</v>
      </c>
      <c r="I60" s="409">
        <f t="shared" si="9"/>
      </c>
      <c r="J60" s="367">
        <f t="shared" si="14"/>
      </c>
    </row>
    <row r="61" spans="2:10" ht="12.75">
      <c r="B61" s="91">
        <f t="shared" si="10"/>
        <v>14</v>
      </c>
      <c r="C61" s="91">
        <f t="shared" si="11"/>
        <v>4</v>
      </c>
      <c r="D61" s="90"/>
      <c r="E61" s="367" t="e">
        <f t="shared" si="8"/>
        <v>#N/A</v>
      </c>
      <c r="F61" s="367">
        <f t="shared" si="15"/>
      </c>
      <c r="G61" s="367">
        <f t="shared" si="12"/>
      </c>
      <c r="H61" s="367" t="e">
        <f t="shared" si="13"/>
        <v>#N/A</v>
      </c>
      <c r="I61" s="409">
        <f t="shared" si="9"/>
      </c>
      <c r="J61" s="367">
        <f t="shared" si="14"/>
      </c>
    </row>
    <row r="62" spans="2:10" ht="12.75">
      <c r="B62" s="91">
        <f t="shared" si="10"/>
        <v>15</v>
      </c>
      <c r="C62" s="91">
        <f t="shared" si="11"/>
        <v>1</v>
      </c>
      <c r="D62" s="90"/>
      <c r="E62" s="367" t="e">
        <f t="shared" si="8"/>
        <v>#N/A</v>
      </c>
      <c r="F62" s="367">
        <f t="shared" si="15"/>
      </c>
      <c r="G62" s="367">
        <f t="shared" si="12"/>
      </c>
      <c r="H62" s="367" t="e">
        <f t="shared" si="13"/>
        <v>#N/A</v>
      </c>
      <c r="I62" s="409">
        <f t="shared" si="9"/>
      </c>
      <c r="J62" s="367">
        <f t="shared" si="14"/>
      </c>
    </row>
    <row r="63" spans="2:10" ht="12.75">
      <c r="B63" s="91">
        <f t="shared" si="10"/>
        <v>15</v>
      </c>
      <c r="C63" s="91">
        <f t="shared" si="11"/>
        <v>2</v>
      </c>
      <c r="D63" s="90"/>
      <c r="E63" s="367" t="e">
        <f t="shared" si="8"/>
        <v>#N/A</v>
      </c>
      <c r="F63" s="367">
        <f t="shared" si="15"/>
      </c>
      <c r="G63" s="367">
        <f t="shared" si="12"/>
      </c>
      <c r="H63" s="367" t="e">
        <f t="shared" si="13"/>
        <v>#N/A</v>
      </c>
      <c r="I63" s="409">
        <f t="shared" si="9"/>
      </c>
      <c r="J63" s="367">
        <f t="shared" si="14"/>
      </c>
    </row>
    <row r="64" spans="2:10" ht="12.75">
      <c r="B64" s="91">
        <f t="shared" si="10"/>
        <v>15</v>
      </c>
      <c r="C64" s="91">
        <f t="shared" si="11"/>
        <v>3</v>
      </c>
      <c r="D64" s="90"/>
      <c r="E64" s="367" t="e">
        <f t="shared" si="8"/>
        <v>#N/A</v>
      </c>
      <c r="F64" s="367">
        <f t="shared" si="15"/>
      </c>
      <c r="G64" s="367">
        <f t="shared" si="12"/>
      </c>
      <c r="H64" s="367" t="e">
        <f t="shared" si="13"/>
        <v>#N/A</v>
      </c>
      <c r="I64" s="409">
        <f t="shared" si="9"/>
      </c>
      <c r="J64" s="367">
        <f t="shared" si="14"/>
      </c>
    </row>
    <row r="65" spans="2:10" ht="12.75">
      <c r="B65" s="91">
        <f t="shared" si="10"/>
        <v>15</v>
      </c>
      <c r="C65" s="91">
        <f t="shared" si="11"/>
        <v>4</v>
      </c>
      <c r="D65" s="90"/>
      <c r="E65" s="367" t="e">
        <f t="shared" si="8"/>
        <v>#N/A</v>
      </c>
      <c r="F65" s="367">
        <f t="shared" si="15"/>
      </c>
      <c r="G65" s="367">
        <f t="shared" si="12"/>
      </c>
      <c r="H65" s="367" t="e">
        <f t="shared" si="13"/>
        <v>#N/A</v>
      </c>
      <c r="I65" s="409">
        <f t="shared" si="9"/>
      </c>
      <c r="J65" s="367">
        <f t="shared" si="14"/>
      </c>
    </row>
    <row r="66" spans="2:10" ht="12.75">
      <c r="B66" s="91">
        <f t="shared" si="10"/>
        <v>16</v>
      </c>
      <c r="C66" s="91">
        <f t="shared" si="11"/>
        <v>1</v>
      </c>
      <c r="D66" s="90"/>
      <c r="E66" s="367" t="e">
        <f t="shared" si="8"/>
        <v>#N/A</v>
      </c>
      <c r="F66" s="367">
        <f t="shared" si="15"/>
      </c>
      <c r="G66" s="367">
        <f t="shared" si="12"/>
      </c>
      <c r="H66" s="367" t="e">
        <f t="shared" si="13"/>
        <v>#N/A</v>
      </c>
      <c r="I66" s="409">
        <f t="shared" si="9"/>
      </c>
      <c r="J66" s="367">
        <f t="shared" si="14"/>
      </c>
    </row>
    <row r="67" spans="2:10" ht="12.75">
      <c r="B67" s="91">
        <f t="shared" si="10"/>
        <v>16</v>
      </c>
      <c r="C67" s="91">
        <f t="shared" si="11"/>
        <v>2</v>
      </c>
      <c r="D67" s="90"/>
      <c r="E67" s="367" t="e">
        <f t="shared" si="8"/>
        <v>#N/A</v>
      </c>
      <c r="F67" s="367">
        <f t="shared" si="15"/>
      </c>
      <c r="G67" s="367">
        <f t="shared" si="12"/>
      </c>
      <c r="H67" s="367" t="e">
        <f t="shared" si="13"/>
        <v>#N/A</v>
      </c>
      <c r="I67" s="409">
        <f t="shared" si="9"/>
      </c>
      <c r="J67" s="367">
        <f t="shared" si="14"/>
      </c>
    </row>
    <row r="68" spans="2:10" ht="12.75">
      <c r="B68" s="91">
        <f t="shared" si="10"/>
        <v>16</v>
      </c>
      <c r="C68" s="91">
        <f t="shared" si="11"/>
        <v>3</v>
      </c>
      <c r="D68" s="90"/>
      <c r="E68" s="367" t="e">
        <f t="shared" si="8"/>
        <v>#N/A</v>
      </c>
      <c r="F68" s="367">
        <f t="shared" si="15"/>
      </c>
      <c r="G68" s="367">
        <f t="shared" si="12"/>
      </c>
      <c r="H68" s="367" t="e">
        <f t="shared" si="13"/>
        <v>#N/A</v>
      </c>
      <c r="I68" s="409">
        <f t="shared" si="9"/>
      </c>
      <c r="J68" s="367">
        <f t="shared" si="14"/>
      </c>
    </row>
    <row r="69" spans="2:10" ht="12.75">
      <c r="B69" s="91">
        <f t="shared" si="10"/>
        <v>16</v>
      </c>
      <c r="C69" s="91">
        <f t="shared" si="11"/>
        <v>4</v>
      </c>
      <c r="D69" s="90"/>
      <c r="E69" s="367" t="e">
        <f t="shared" si="8"/>
        <v>#N/A</v>
      </c>
      <c r="F69" s="367">
        <f t="shared" si="15"/>
      </c>
      <c r="G69" s="367">
        <f t="shared" si="12"/>
      </c>
      <c r="H69" s="367" t="e">
        <f t="shared" si="13"/>
        <v>#N/A</v>
      </c>
      <c r="I69" s="409">
        <f t="shared" si="9"/>
      </c>
      <c r="J69" s="367">
        <f t="shared" si="14"/>
      </c>
    </row>
    <row r="70" spans="2:10" ht="12.75">
      <c r="B70" s="91">
        <f aca="true" t="shared" si="16" ref="B70:B75">IF(TypeOfSeasonality="Quarterly",TRUNC((ROW(B70)-2)/4),IF(TypeOfSeasonality="Monthly",TRUNC((ROW(B70)+6)/12),TRUNC((ROW(B70)-1)/5)))</f>
        <v>17</v>
      </c>
      <c r="C70" s="91">
        <f aca="true" t="shared" si="17" ref="C70:C75">IF(TypeOfSeasonality="Quarterly",INDEX($L$16:$L$19,MOD(ROW(B70)+2,4)+1,1),IF(TypeOfSeasonality="Monthly",INDEX($L$16:$L$27,MOD(ROW(B70)-6,12)+1,1),INDEX($L$16:$L$20,MOD(ROW(B70)-1,5)+1,1)))</f>
        <v>1</v>
      </c>
      <c r="D70" s="90"/>
      <c r="E70" s="367" t="e">
        <f t="shared" si="8"/>
        <v>#N/A</v>
      </c>
      <c r="F70" s="367">
        <f t="shared" si="15"/>
      </c>
      <c r="G70" s="367">
        <f t="shared" si="12"/>
      </c>
      <c r="H70" s="367" t="e">
        <f t="shared" si="13"/>
        <v>#N/A</v>
      </c>
      <c r="I70" s="409">
        <f t="shared" si="9"/>
      </c>
      <c r="J70" s="367">
        <f t="shared" si="14"/>
      </c>
    </row>
    <row r="71" spans="2:10" ht="12.75">
      <c r="B71" s="91">
        <f t="shared" si="16"/>
        <v>17</v>
      </c>
      <c r="C71" s="91">
        <f t="shared" si="17"/>
        <v>2</v>
      </c>
      <c r="D71" s="90"/>
      <c r="E71" s="367" t="e">
        <f t="shared" si="8"/>
        <v>#N/A</v>
      </c>
      <c r="F71" s="367">
        <f t="shared" si="15"/>
      </c>
      <c r="G71" s="367">
        <f>IF(ISNUMBER(F71),Beta*F71+(1-Beta)*G70,"")</f>
      </c>
      <c r="H71" s="367" t="e">
        <f>IF(ISNUMBER(D70),Alpha*E70+(1-Alpha)*H70+G71,NA())</f>
        <v>#N/A</v>
      </c>
      <c r="I71" s="409">
        <f t="shared" si="9"/>
      </c>
      <c r="J71" s="367">
        <f>IF(AND(ISNUMBER(D71),ISNUMBER(I71)),ABS(D71-I71),"")</f>
      </c>
    </row>
    <row r="72" spans="2:10" ht="12.75">
      <c r="B72" s="91">
        <f t="shared" si="16"/>
        <v>17</v>
      </c>
      <c r="C72" s="91">
        <f t="shared" si="17"/>
        <v>3</v>
      </c>
      <c r="D72" s="90"/>
      <c r="E72" s="367" t="e">
        <f t="shared" si="8"/>
        <v>#N/A</v>
      </c>
      <c r="F72" s="367">
        <f>IF(ISNUMBER(E71),Alpha*(E71-E70)+(1-Alpha)*(H71-H70),"")</f>
      </c>
      <c r="G72" s="367">
        <f>IF(ISNUMBER(F72),Beta*F72+(1-Beta)*G71,"")</f>
      </c>
      <c r="H72" s="367" t="e">
        <f>IF(ISNUMBER(D71),Alpha*E71+(1-Alpha)*H71+G72,NA())</f>
        <v>#N/A</v>
      </c>
      <c r="I72" s="409">
        <f t="shared" si="9"/>
      </c>
      <c r="J72" s="367">
        <f>IF(AND(ISNUMBER(D72),ISNUMBER(I72)),ABS(D72-I72),"")</f>
      </c>
    </row>
    <row r="73" spans="2:10" ht="12.75">
      <c r="B73" s="91">
        <f t="shared" si="16"/>
        <v>17</v>
      </c>
      <c r="C73" s="91">
        <f t="shared" si="17"/>
        <v>4</v>
      </c>
      <c r="D73" s="90"/>
      <c r="E73" s="367" t="e">
        <f t="shared" si="8"/>
        <v>#N/A</v>
      </c>
      <c r="F73" s="367">
        <f>IF(ISNUMBER(E72),Alpha*(E72-E71)+(1-Alpha)*(H72-H71),"")</f>
      </c>
      <c r="G73" s="367">
        <f>IF(ISNUMBER(F73),Beta*F73+(1-Beta)*G32,"")</f>
      </c>
      <c r="H73" s="367" t="e">
        <f>IF(ISNUMBER(D32),Alpha*E32+(1-Alpha)*H32+G73,NA())</f>
        <v>#N/A</v>
      </c>
      <c r="I73" s="409">
        <f t="shared" si="9"/>
      </c>
      <c r="J73" s="367">
        <f>IF(AND(ISNUMBER(D73),ISNUMBER(I73)),ABS(D73-I73),"")</f>
      </c>
    </row>
    <row r="74" spans="2:10" ht="12.75">
      <c r="B74" s="91">
        <f t="shared" si="16"/>
        <v>18</v>
      </c>
      <c r="C74" s="91">
        <f t="shared" si="17"/>
        <v>1</v>
      </c>
      <c r="D74" s="90"/>
      <c r="E74" s="367" t="e">
        <f t="shared" si="8"/>
        <v>#N/A</v>
      </c>
      <c r="F74" s="367">
        <f>IF(ISNUMBER(E73),Alpha*(E73-E32)+(1-Alpha)*(H73-H32),"")</f>
      </c>
      <c r="G74" s="367">
        <f>IF(ISNUMBER(F74),Beta*F74+(1-Beta)*G73,"")</f>
      </c>
      <c r="H74" s="367" t="e">
        <f>IF(ISNUMBER(D73),Alpha*E73+(1-Alpha)*H73+G74,NA())</f>
        <v>#N/A</v>
      </c>
      <c r="I74" s="409">
        <f t="shared" si="9"/>
      </c>
      <c r="J74" s="367">
        <f>IF(AND(ISNUMBER(D74),ISNUMBER(I74)),ABS(D74-I74),"")</f>
      </c>
    </row>
    <row r="75" spans="2:10" ht="13.5" thickBot="1">
      <c r="B75" s="91">
        <f t="shared" si="16"/>
        <v>18</v>
      </c>
      <c r="C75" s="91">
        <f t="shared" si="17"/>
        <v>2</v>
      </c>
      <c r="D75" s="90"/>
      <c r="E75" s="367" t="e">
        <f t="shared" si="8"/>
        <v>#N/A</v>
      </c>
      <c r="F75" s="367">
        <f>IF(ISNUMBER(E74),Alpha*(E74-E73)+(1-Alpha)*(H74-H73),"")</f>
      </c>
      <c r="G75" s="367">
        <f>IF(ISNUMBER(F75),Beta*F75+(1-Beta)*G74,"")</f>
      </c>
      <c r="H75" s="367" t="e">
        <f>IF(ISNUMBER(D74),Alpha*E74+(1-Alpha)*H74+G75,NA())</f>
        <v>#N/A</v>
      </c>
      <c r="I75" s="412">
        <f t="shared" si="9"/>
      </c>
      <c r="J75" s="367">
        <f>IF(AND(ISNUMBER(D75),ISNUMBER(I75)),ABS(D75-I75),"")</f>
      </c>
    </row>
    <row r="76" spans="2:10" ht="12.75">
      <c r="B76" s="91"/>
      <c r="C76" s="91"/>
      <c r="D76" s="91"/>
      <c r="E76" s="91"/>
      <c r="F76" s="91"/>
      <c r="G76" s="91"/>
      <c r="H76" s="91"/>
      <c r="I76" s="91"/>
      <c r="J76" s="91"/>
    </row>
    <row r="77" ht="12.75">
      <c r="H77" s="91"/>
    </row>
    <row r="78" ht="12.75">
      <c r="H78" s="91"/>
    </row>
    <row r="79" ht="12.75">
      <c r="H79" s="91"/>
    </row>
    <row r="80" ht="12.75">
      <c r="H80" s="91"/>
    </row>
    <row r="81" ht="12.75">
      <c r="H81" s="91"/>
    </row>
    <row r="82" ht="12.75">
      <c r="H82" s="91"/>
    </row>
    <row r="83" ht="12.75">
      <c r="H83" s="91"/>
    </row>
    <row r="84" ht="12.75">
      <c r="H84" s="91"/>
    </row>
    <row r="85" ht="12.75">
      <c r="H85" s="91"/>
    </row>
    <row r="86" ht="12.75">
      <c r="H86" s="91"/>
    </row>
    <row r="87" ht="12.75">
      <c r="H87" s="91"/>
    </row>
    <row r="88" ht="12.75">
      <c r="H88" s="91"/>
    </row>
  </sheetData>
  <conditionalFormatting sqref="E6:E75">
    <cfRule type="expression" priority="1" dxfId="3" stopIfTrue="1">
      <formula>NOT(ISNUMBER(E6))</formula>
    </cfRule>
  </conditionalFormatting>
  <conditionalFormatting sqref="M20">
    <cfRule type="expression" priority="2" dxfId="4" stopIfTrue="1">
      <formula>(TypeOfSeasonality="Quarterly")</formula>
    </cfRule>
  </conditionalFormatting>
  <conditionalFormatting sqref="H6:H75">
    <cfRule type="expression" priority="3" dxfId="3" stopIfTrue="1">
      <formula>NOT(ISNUMBER(H6))</formula>
    </cfRule>
  </conditionalFormatting>
  <conditionalFormatting sqref="M21:M27">
    <cfRule type="expression" priority="4" dxfId="4" stopIfTrue="1">
      <formula>(TypeOfSeasonality&lt;&gt;"Monthly")</formula>
    </cfRule>
  </conditionalFormatting>
  <dataValidations count="1">
    <dataValidation type="list" allowBlank="1" showInputMessage="1" showErrorMessage="1" sqref="M13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3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5.25390625" style="1" bestFit="1" customWidth="1"/>
    <col min="3" max="6" width="9.875" style="1" customWidth="1"/>
    <col min="7" max="7" width="6.875" style="1" bestFit="1" customWidth="1"/>
    <col min="8" max="8" width="3.00390625" style="1" bestFit="1" customWidth="1"/>
    <col min="9" max="9" width="12.125" style="1" customWidth="1"/>
    <col min="10" max="10" width="2.875" style="1" customWidth="1"/>
    <col min="11" max="11" width="5.875" style="1" bestFit="1" customWidth="1"/>
    <col min="12" max="12" width="3.00390625" style="1" bestFit="1" customWidth="1"/>
    <col min="13" max="13" width="5.875" style="1" bestFit="1" customWidth="1"/>
    <col min="14" max="16384" width="10.875" style="1" customWidth="1"/>
  </cols>
  <sheetData>
    <row r="1" ht="15.75">
      <c r="A1" s="2" t="s">
        <v>215</v>
      </c>
    </row>
    <row r="2" ht="12">
      <c r="A2" s="86"/>
    </row>
    <row r="3" spans="1:5" ht="12">
      <c r="A3" s="86"/>
      <c r="C3" s="1" t="s">
        <v>212</v>
      </c>
      <c r="E3" s="1" t="s">
        <v>214</v>
      </c>
    </row>
    <row r="4" spans="2:6" ht="12">
      <c r="B4" s="14" t="s">
        <v>275</v>
      </c>
      <c r="C4" s="1" t="s">
        <v>213</v>
      </c>
      <c r="D4" s="1" t="s">
        <v>276</v>
      </c>
      <c r="E4" s="1" t="s">
        <v>212</v>
      </c>
      <c r="F4" s="1" t="s">
        <v>277</v>
      </c>
    </row>
    <row r="5" spans="2:6" ht="12">
      <c r="B5" s="3" t="s">
        <v>278</v>
      </c>
      <c r="C5" s="31">
        <v>60</v>
      </c>
      <c r="D5" s="31">
        <v>10</v>
      </c>
      <c r="E5" s="31">
        <v>10</v>
      </c>
      <c r="F5" s="31">
        <v>20</v>
      </c>
    </row>
    <row r="6" spans="2:6" ht="12">
      <c r="B6" s="3" t="s">
        <v>279</v>
      </c>
      <c r="C6" s="31">
        <v>20</v>
      </c>
      <c r="D6" s="31">
        <v>20</v>
      </c>
      <c r="E6" s="31">
        <v>40</v>
      </c>
      <c r="F6" s="31">
        <v>20</v>
      </c>
    </row>
    <row r="7" spans="2:6" ht="12">
      <c r="B7" s="3" t="s">
        <v>280</v>
      </c>
      <c r="C7" s="31">
        <v>45</v>
      </c>
      <c r="D7" s="31">
        <v>45</v>
      </c>
      <c r="E7" s="31">
        <v>5</v>
      </c>
      <c r="F7" s="31">
        <v>5</v>
      </c>
    </row>
    <row r="8" spans="2:6" ht="12">
      <c r="B8" s="3" t="s">
        <v>281</v>
      </c>
      <c r="C8" s="31">
        <v>50</v>
      </c>
      <c r="D8" s="31">
        <v>20</v>
      </c>
      <c r="E8" s="31">
        <v>5</v>
      </c>
      <c r="F8" s="31">
        <v>25</v>
      </c>
    </row>
    <row r="9" spans="2:6" ht="12">
      <c r="B9" s="3" t="s">
        <v>282</v>
      </c>
      <c r="C9" s="31">
        <v>30</v>
      </c>
      <c r="D9" s="31">
        <v>30</v>
      </c>
      <c r="E9" s="31">
        <v>30</v>
      </c>
      <c r="F9" s="31">
        <v>10</v>
      </c>
    </row>
    <row r="10" spans="2:6" ht="12">
      <c r="B10" s="3" t="s">
        <v>283</v>
      </c>
      <c r="C10" s="31">
        <v>50</v>
      </c>
      <c r="D10" s="31">
        <v>50</v>
      </c>
      <c r="E10" s="31">
        <v>0</v>
      </c>
      <c r="F10" s="31">
        <v>0</v>
      </c>
    </row>
    <row r="11" spans="2:6" ht="12">
      <c r="B11" s="3" t="s">
        <v>284</v>
      </c>
      <c r="C11" s="31">
        <v>70</v>
      </c>
      <c r="D11" s="31">
        <v>20</v>
      </c>
      <c r="E11" s="31">
        <v>10</v>
      </c>
      <c r="F11" s="31">
        <v>0</v>
      </c>
    </row>
    <row r="12" spans="2:6" ht="12">
      <c r="B12" s="3" t="s">
        <v>285</v>
      </c>
      <c r="C12" s="31">
        <v>25</v>
      </c>
      <c r="D12" s="31">
        <v>25</v>
      </c>
      <c r="E12" s="31">
        <v>35</v>
      </c>
      <c r="F12" s="31">
        <v>15</v>
      </c>
    </row>
    <row r="13" spans="2:6" ht="12">
      <c r="B13" s="3" t="s">
        <v>286</v>
      </c>
      <c r="C13" s="31">
        <v>35</v>
      </c>
      <c r="D13" s="31">
        <v>15</v>
      </c>
      <c r="E13" s="31">
        <v>35</v>
      </c>
      <c r="F13" s="31">
        <v>15</v>
      </c>
    </row>
    <row r="14" spans="2:6" ht="12">
      <c r="B14" s="3" t="s">
        <v>287</v>
      </c>
      <c r="C14" s="31">
        <v>60</v>
      </c>
      <c r="D14" s="31">
        <v>10</v>
      </c>
      <c r="E14" s="31">
        <v>10</v>
      </c>
      <c r="F14" s="31">
        <v>20</v>
      </c>
    </row>
    <row r="16" spans="2:13" ht="13.5" customHeight="1">
      <c r="B16" s="14"/>
      <c r="C16" s="1" t="s">
        <v>212</v>
      </c>
      <c r="E16" s="1" t="s">
        <v>214</v>
      </c>
      <c r="G16" s="1" t="s">
        <v>260</v>
      </c>
      <c r="I16" s="1" t="s">
        <v>205</v>
      </c>
      <c r="M16" s="1" t="s">
        <v>216</v>
      </c>
    </row>
    <row r="17" spans="2:13" ht="12">
      <c r="B17" s="14" t="s">
        <v>207</v>
      </c>
      <c r="C17" s="1" t="s">
        <v>213</v>
      </c>
      <c r="D17" s="1" t="s">
        <v>276</v>
      </c>
      <c r="E17" s="1" t="s">
        <v>212</v>
      </c>
      <c r="F17" s="1" t="s">
        <v>277</v>
      </c>
      <c r="G17" s="1" t="s">
        <v>205</v>
      </c>
      <c r="I17" s="1" t="s">
        <v>208</v>
      </c>
      <c r="J17" s="8"/>
      <c r="K17" s="1" t="s">
        <v>275</v>
      </c>
      <c r="M17" s="1" t="s">
        <v>275</v>
      </c>
    </row>
    <row r="18" spans="2:13" ht="12">
      <c r="B18" s="3" t="s">
        <v>278</v>
      </c>
      <c r="C18" s="32">
        <v>0.9999999999776977</v>
      </c>
      <c r="D18" s="33">
        <v>0</v>
      </c>
      <c r="E18" s="33">
        <v>0</v>
      </c>
      <c r="F18" s="34">
        <v>1</v>
      </c>
      <c r="G18" s="1">
        <f aca="true" t="shared" si="0" ref="G18:G27">SUM(C18:F18)</f>
        <v>1.9999999999776978</v>
      </c>
      <c r="H18" s="1" t="s">
        <v>209</v>
      </c>
      <c r="I18" s="35">
        <v>2</v>
      </c>
      <c r="J18" s="8"/>
      <c r="K18" s="1">
        <f aca="true" t="shared" si="1" ref="K18:K27">SUMPRODUCT(C5:F5,C18:F18)</f>
        <v>79.99999999866186</v>
      </c>
      <c r="L18" s="1" t="s">
        <v>268</v>
      </c>
      <c r="M18" s="1">
        <f aca="true" t="shared" si="2" ref="M18:M27">$K$31</f>
        <v>50</v>
      </c>
    </row>
    <row r="19" spans="2:13" ht="12">
      <c r="B19" s="3" t="s">
        <v>279</v>
      </c>
      <c r="C19" s="36">
        <v>0</v>
      </c>
      <c r="D19" s="37">
        <v>1</v>
      </c>
      <c r="E19" s="37">
        <v>0.9999999999911182</v>
      </c>
      <c r="F19" s="38">
        <v>0</v>
      </c>
      <c r="G19" s="1">
        <f t="shared" si="0"/>
        <v>1.9999999999911182</v>
      </c>
      <c r="H19" s="1" t="s">
        <v>209</v>
      </c>
      <c r="I19" s="35">
        <v>2</v>
      </c>
      <c r="J19" s="8"/>
      <c r="K19" s="1">
        <f t="shared" si="1"/>
        <v>59.99999999964473</v>
      </c>
      <c r="L19" s="1" t="s">
        <v>268</v>
      </c>
      <c r="M19" s="1">
        <f t="shared" si="2"/>
        <v>50</v>
      </c>
    </row>
    <row r="20" spans="2:13" ht="12">
      <c r="B20" s="3" t="s">
        <v>280</v>
      </c>
      <c r="C20" s="36">
        <v>0</v>
      </c>
      <c r="D20" s="37">
        <v>1</v>
      </c>
      <c r="E20" s="37">
        <v>0</v>
      </c>
      <c r="F20" s="38">
        <v>0.9999999999876097</v>
      </c>
      <c r="G20" s="1">
        <f t="shared" si="0"/>
        <v>1.9999999999876097</v>
      </c>
      <c r="H20" s="1" t="s">
        <v>209</v>
      </c>
      <c r="I20" s="35">
        <v>2</v>
      </c>
      <c r="J20" s="8"/>
      <c r="K20" s="1">
        <f t="shared" si="1"/>
        <v>49.99999999993805</v>
      </c>
      <c r="L20" s="1" t="s">
        <v>268</v>
      </c>
      <c r="M20" s="1">
        <f t="shared" si="2"/>
        <v>50</v>
      </c>
    </row>
    <row r="21" spans="2:13" ht="12">
      <c r="B21" s="3" t="s">
        <v>281</v>
      </c>
      <c r="C21" s="36">
        <v>1</v>
      </c>
      <c r="D21" s="37">
        <v>0</v>
      </c>
      <c r="E21" s="37">
        <v>0.9999999999934364</v>
      </c>
      <c r="F21" s="38">
        <v>0</v>
      </c>
      <c r="G21" s="1">
        <f t="shared" si="0"/>
        <v>1.9999999999934364</v>
      </c>
      <c r="H21" s="1" t="s">
        <v>209</v>
      </c>
      <c r="I21" s="35">
        <v>2</v>
      </c>
      <c r="J21" s="8"/>
      <c r="K21" s="1">
        <f t="shared" si="1"/>
        <v>54.99999999996718</v>
      </c>
      <c r="L21" s="1" t="s">
        <v>268</v>
      </c>
      <c r="M21" s="1">
        <f t="shared" si="2"/>
        <v>50</v>
      </c>
    </row>
    <row r="22" spans="2:13" ht="12">
      <c r="B22" s="3" t="s">
        <v>282</v>
      </c>
      <c r="C22" s="36">
        <v>0</v>
      </c>
      <c r="D22" s="37">
        <v>1</v>
      </c>
      <c r="E22" s="37">
        <v>1</v>
      </c>
      <c r="F22" s="38">
        <v>0</v>
      </c>
      <c r="G22" s="1">
        <f t="shared" si="0"/>
        <v>2</v>
      </c>
      <c r="H22" s="1" t="s">
        <v>209</v>
      </c>
      <c r="I22" s="35">
        <v>2</v>
      </c>
      <c r="J22" s="8"/>
      <c r="K22" s="1">
        <f t="shared" si="1"/>
        <v>60</v>
      </c>
      <c r="L22" s="1" t="s">
        <v>268</v>
      </c>
      <c r="M22" s="1">
        <f t="shared" si="2"/>
        <v>50</v>
      </c>
    </row>
    <row r="23" spans="2:13" ht="12">
      <c r="B23" s="3" t="s">
        <v>283</v>
      </c>
      <c r="C23" s="36">
        <v>0</v>
      </c>
      <c r="D23" s="37">
        <v>1</v>
      </c>
      <c r="E23" s="37">
        <v>0</v>
      </c>
      <c r="F23" s="38">
        <v>0.9999999999900878</v>
      </c>
      <c r="G23" s="1">
        <f t="shared" si="0"/>
        <v>1.999999999990088</v>
      </c>
      <c r="H23" s="1" t="s">
        <v>209</v>
      </c>
      <c r="I23" s="35">
        <v>2</v>
      </c>
      <c r="J23" s="8"/>
      <c r="K23" s="1">
        <f t="shared" si="1"/>
        <v>50</v>
      </c>
      <c r="L23" s="1" t="s">
        <v>268</v>
      </c>
      <c r="M23" s="1">
        <f t="shared" si="2"/>
        <v>50</v>
      </c>
    </row>
    <row r="24" spans="2:13" ht="12">
      <c r="B24" s="3" t="s">
        <v>284</v>
      </c>
      <c r="C24" s="36">
        <v>1</v>
      </c>
      <c r="D24" s="37">
        <v>0</v>
      </c>
      <c r="E24" s="37">
        <v>0</v>
      </c>
      <c r="F24" s="38">
        <v>1</v>
      </c>
      <c r="G24" s="1">
        <f t="shared" si="0"/>
        <v>2</v>
      </c>
      <c r="H24" s="1" t="s">
        <v>209</v>
      </c>
      <c r="I24" s="35">
        <v>2</v>
      </c>
      <c r="J24" s="8"/>
      <c r="K24" s="1">
        <f t="shared" si="1"/>
        <v>70</v>
      </c>
      <c r="L24" s="1" t="s">
        <v>268</v>
      </c>
      <c r="M24" s="1">
        <f t="shared" si="2"/>
        <v>50</v>
      </c>
    </row>
    <row r="25" spans="2:13" ht="12">
      <c r="B25" s="3" t="s">
        <v>285</v>
      </c>
      <c r="C25" s="36">
        <v>0</v>
      </c>
      <c r="D25" s="37">
        <v>1</v>
      </c>
      <c r="E25" s="37">
        <v>0.9999999999621552</v>
      </c>
      <c r="F25" s="38">
        <v>0</v>
      </c>
      <c r="G25" s="1">
        <f t="shared" si="0"/>
        <v>1.9999999999621552</v>
      </c>
      <c r="H25" s="1" t="s">
        <v>209</v>
      </c>
      <c r="I25" s="35">
        <v>2</v>
      </c>
      <c r="J25" s="8"/>
      <c r="K25" s="1">
        <f t="shared" si="1"/>
        <v>59.99999999867543</v>
      </c>
      <c r="L25" s="1" t="s">
        <v>268</v>
      </c>
      <c r="M25" s="1">
        <f t="shared" si="2"/>
        <v>50</v>
      </c>
    </row>
    <row r="26" spans="2:13" ht="12">
      <c r="B26" s="3" t="s">
        <v>286</v>
      </c>
      <c r="C26" s="36">
        <v>1</v>
      </c>
      <c r="D26" s="37">
        <v>0</v>
      </c>
      <c r="E26" s="37">
        <v>1</v>
      </c>
      <c r="F26" s="38">
        <v>0</v>
      </c>
      <c r="G26" s="1">
        <f t="shared" si="0"/>
        <v>2</v>
      </c>
      <c r="H26" s="1" t="s">
        <v>209</v>
      </c>
      <c r="I26" s="35">
        <v>2</v>
      </c>
      <c r="J26" s="8"/>
      <c r="K26" s="1">
        <f t="shared" si="1"/>
        <v>70</v>
      </c>
      <c r="L26" s="1" t="s">
        <v>268</v>
      </c>
      <c r="M26" s="1">
        <f t="shared" si="2"/>
        <v>50</v>
      </c>
    </row>
    <row r="27" spans="2:13" ht="12">
      <c r="B27" s="3" t="s">
        <v>287</v>
      </c>
      <c r="C27" s="39">
        <v>1</v>
      </c>
      <c r="D27" s="40">
        <v>0</v>
      </c>
      <c r="E27" s="40">
        <v>0</v>
      </c>
      <c r="F27" s="41">
        <v>1</v>
      </c>
      <c r="G27" s="1">
        <f t="shared" si="0"/>
        <v>2</v>
      </c>
      <c r="H27" s="1" t="s">
        <v>209</v>
      </c>
      <c r="I27" s="35">
        <v>2</v>
      </c>
      <c r="K27" s="1">
        <f t="shared" si="1"/>
        <v>80</v>
      </c>
      <c r="L27" s="1" t="s">
        <v>268</v>
      </c>
      <c r="M27" s="1">
        <f t="shared" si="2"/>
        <v>50</v>
      </c>
    </row>
    <row r="28" spans="3:6" ht="12">
      <c r="C28" s="1">
        <f>SUM(C18:C27)</f>
        <v>4.999999999977698</v>
      </c>
      <c r="D28" s="1">
        <f>SUM(D18:D27)</f>
        <v>5</v>
      </c>
      <c r="E28" s="1">
        <f>SUM(E18:E27)</f>
        <v>4.999999999946709</v>
      </c>
      <c r="F28" s="1">
        <f>SUM(F18:F27)</f>
        <v>4.999999999977698</v>
      </c>
    </row>
    <row r="29" spans="3:11" ht="12">
      <c r="C29" s="1" t="s">
        <v>269</v>
      </c>
      <c r="D29" s="1" t="s">
        <v>269</v>
      </c>
      <c r="E29" s="1" t="s">
        <v>269</v>
      </c>
      <c r="F29" s="1" t="s">
        <v>269</v>
      </c>
      <c r="J29" s="24" t="s">
        <v>210</v>
      </c>
      <c r="K29" s="9">
        <f>SUMPRODUCT(C5:F14,C18:F27)</f>
        <v>634.9999999968873</v>
      </c>
    </row>
    <row r="30" spans="2:6" ht="12.75" thickBot="1">
      <c r="B30" s="3" t="s">
        <v>211</v>
      </c>
      <c r="C30" s="35">
        <v>5</v>
      </c>
      <c r="D30" s="35">
        <v>5</v>
      </c>
      <c r="E30" s="35">
        <v>5</v>
      </c>
      <c r="F30" s="35">
        <v>5</v>
      </c>
    </row>
    <row r="31" spans="10:11" ht="12.75" thickBot="1">
      <c r="J31" s="24" t="s">
        <v>217</v>
      </c>
      <c r="K31" s="43">
        <v>50</v>
      </c>
    </row>
  </sheetData>
  <printOptions gridLines="1" headings="1"/>
  <pageMargins left="0.75" right="0.75" top="1" bottom="1" header="0.5" footer="0.5"/>
  <pageSetup fitToHeight="1" fitToWidth="1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0.00390625" style="1" customWidth="1"/>
    <col min="3" max="13" width="3.875" style="1" customWidth="1"/>
    <col min="14" max="14" width="8.00390625" style="1" customWidth="1"/>
    <col min="15" max="15" width="3.875" style="1" bestFit="1" customWidth="1"/>
    <col min="16" max="16" width="13.375" style="1" bestFit="1" customWidth="1"/>
    <col min="17" max="17" width="5.125" style="1" bestFit="1" customWidth="1"/>
    <col min="18" max="16384" width="10.875" style="1" customWidth="1"/>
  </cols>
  <sheetData>
    <row r="1" ht="15.75">
      <c r="A1" s="2" t="s">
        <v>345</v>
      </c>
    </row>
    <row r="3" spans="2:6" ht="12">
      <c r="B3" s="149" t="s">
        <v>350</v>
      </c>
      <c r="F3" s="49">
        <v>60</v>
      </c>
    </row>
    <row r="5" spans="2:16" ht="12">
      <c r="B5" s="1" t="s">
        <v>347</v>
      </c>
      <c r="C5" s="7"/>
      <c r="H5" s="1" t="s">
        <v>344</v>
      </c>
      <c r="P5" s="1" t="s">
        <v>133</v>
      </c>
    </row>
    <row r="6" spans="2:16" ht="12">
      <c r="B6" s="1" t="s">
        <v>348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 t="s">
        <v>260</v>
      </c>
      <c r="P6" s="1" t="s">
        <v>135</v>
      </c>
    </row>
    <row r="7" spans="2:17" ht="12">
      <c r="B7" s="1">
        <v>12</v>
      </c>
      <c r="C7" s="35">
        <v>5</v>
      </c>
      <c r="D7" s="35">
        <v>3</v>
      </c>
      <c r="E7" s="35">
        <v>3</v>
      </c>
      <c r="F7" s="35">
        <v>2</v>
      </c>
      <c r="G7" s="35">
        <v>1</v>
      </c>
      <c r="H7" s="35">
        <v>1</v>
      </c>
      <c r="I7" s="35">
        <v>1</v>
      </c>
      <c r="J7" s="35"/>
      <c r="K7" s="35"/>
      <c r="L7" s="35"/>
      <c r="M7" s="35"/>
      <c r="N7" s="8">
        <f>SUMPRODUCT(C7:M7,$C$14:$M$14)</f>
        <v>26.99999999975221</v>
      </c>
      <c r="O7" s="1" t="s">
        <v>268</v>
      </c>
      <c r="P7" s="35">
        <v>25</v>
      </c>
      <c r="Q7" s="8"/>
    </row>
    <row r="8" spans="2:17" ht="12">
      <c r="B8" s="1">
        <v>18</v>
      </c>
      <c r="C8" s="35"/>
      <c r="D8" s="35">
        <v>1</v>
      </c>
      <c r="E8" s="35"/>
      <c r="F8" s="35">
        <v>2</v>
      </c>
      <c r="G8" s="35">
        <v>1</v>
      </c>
      <c r="H8" s="35"/>
      <c r="I8" s="35"/>
      <c r="J8" s="35">
        <v>3</v>
      </c>
      <c r="K8" s="35">
        <v>2</v>
      </c>
      <c r="L8" s="35">
        <v>1</v>
      </c>
      <c r="M8" s="35"/>
      <c r="N8" s="8">
        <f>SUMPRODUCT(C8:M8,$C$14:$M$14)</f>
        <v>52.00000000099117</v>
      </c>
      <c r="O8" s="1" t="s">
        <v>268</v>
      </c>
      <c r="P8" s="35">
        <v>52</v>
      </c>
      <c r="Q8" s="8"/>
    </row>
    <row r="9" spans="2:17" ht="12">
      <c r="B9" s="1">
        <v>24</v>
      </c>
      <c r="C9" s="35"/>
      <c r="D9" s="35"/>
      <c r="E9" s="35">
        <v>1</v>
      </c>
      <c r="F9" s="35"/>
      <c r="G9" s="35">
        <v>1</v>
      </c>
      <c r="H9" s="35">
        <v>2</v>
      </c>
      <c r="I9" s="35"/>
      <c r="J9" s="35"/>
      <c r="K9" s="35">
        <v>1</v>
      </c>
      <c r="L9" s="35"/>
      <c r="M9" s="35"/>
      <c r="N9" s="8">
        <f>SUMPRODUCT(C9:M9,$C$14:$M$14)</f>
        <v>45</v>
      </c>
      <c r="O9" s="1" t="s">
        <v>268</v>
      </c>
      <c r="P9" s="35">
        <v>45</v>
      </c>
      <c r="Q9" s="8"/>
    </row>
    <row r="10" spans="2:17" ht="12">
      <c r="B10" s="1">
        <v>40</v>
      </c>
      <c r="C10" s="35"/>
      <c r="D10" s="35"/>
      <c r="E10" s="35"/>
      <c r="F10" s="35"/>
      <c r="G10" s="35"/>
      <c r="H10" s="35"/>
      <c r="I10" s="35">
        <v>1</v>
      </c>
      <c r="J10" s="35"/>
      <c r="K10" s="35"/>
      <c r="L10" s="35">
        <v>1</v>
      </c>
      <c r="M10" s="35"/>
      <c r="N10" s="8">
        <f>SUMPRODUCT(C10:M10,$C$14:$M$14)</f>
        <v>30</v>
      </c>
      <c r="O10" s="1" t="s">
        <v>268</v>
      </c>
      <c r="P10" s="35">
        <v>30</v>
      </c>
      <c r="Q10" s="8"/>
    </row>
    <row r="11" spans="2:17" ht="12">
      <c r="B11" s="1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>
        <v>1</v>
      </c>
      <c r="N11" s="8">
        <f>SUMPRODUCT(C11:M11,$C$14:$M$14)</f>
        <v>12</v>
      </c>
      <c r="O11" s="1" t="s">
        <v>268</v>
      </c>
      <c r="P11" s="35">
        <v>12</v>
      </c>
      <c r="Q11" s="8"/>
    </row>
    <row r="12" spans="2:17" s="7" customFormat="1" ht="12">
      <c r="B12" s="7" t="s">
        <v>346</v>
      </c>
      <c r="C12" s="5">
        <f>$F$3-SUMPRODUCT($B$7:$B$11,C7:C11)</f>
        <v>0</v>
      </c>
      <c r="D12" s="5">
        <f aca="true" t="shared" si="0" ref="D12:M12">$F$3-SUMPRODUCT($B$7:$B$11,D7:D11)</f>
        <v>6</v>
      </c>
      <c r="E12" s="5">
        <f t="shared" si="0"/>
        <v>0</v>
      </c>
      <c r="F12" s="5">
        <f t="shared" si="0"/>
        <v>0</v>
      </c>
      <c r="G12" s="5">
        <f t="shared" si="0"/>
        <v>6</v>
      </c>
      <c r="H12" s="5">
        <f t="shared" si="0"/>
        <v>0</v>
      </c>
      <c r="I12" s="5">
        <f t="shared" si="0"/>
        <v>8</v>
      </c>
      <c r="J12" s="5">
        <f t="shared" si="0"/>
        <v>6</v>
      </c>
      <c r="K12" s="5">
        <f t="shared" si="0"/>
        <v>0</v>
      </c>
      <c r="L12" s="5">
        <f t="shared" si="0"/>
        <v>2</v>
      </c>
      <c r="M12" s="5">
        <f t="shared" si="0"/>
        <v>0</v>
      </c>
      <c r="Q12" s="59"/>
    </row>
    <row r="13" spans="13:16" ht="12.75" thickBot="1">
      <c r="M13" s="97"/>
      <c r="P13" s="1" t="s">
        <v>349</v>
      </c>
    </row>
    <row r="14" spans="2:16" ht="12.75" thickBot="1">
      <c r="B14" s="3" t="s">
        <v>140</v>
      </c>
      <c r="C14" s="21">
        <v>2</v>
      </c>
      <c r="D14" s="85">
        <v>0</v>
      </c>
      <c r="E14" s="85">
        <v>0</v>
      </c>
      <c r="F14" s="85">
        <v>0</v>
      </c>
      <c r="G14" s="85">
        <v>0</v>
      </c>
      <c r="H14" s="85">
        <v>16.99999999975221</v>
      </c>
      <c r="I14" s="85">
        <v>0</v>
      </c>
      <c r="J14" s="85">
        <v>0</v>
      </c>
      <c r="K14" s="85">
        <v>11.000000000495586</v>
      </c>
      <c r="L14" s="85">
        <v>30</v>
      </c>
      <c r="M14" s="22">
        <v>12</v>
      </c>
      <c r="P14" s="170">
        <f>SUM(C14:M14)</f>
        <v>72.0000000002478</v>
      </c>
    </row>
    <row r="15" ht="12">
      <c r="B15" s="101"/>
    </row>
  </sheetData>
  <printOptions gridLines="1" headings="1"/>
  <pageMargins left="0.75" right="0.75" top="1" bottom="1" header="0.5" footer="0.5"/>
  <pageSetup fitToHeight="1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A1" sqref="A1"/>
    </sheetView>
  </sheetViews>
  <sheetFormatPr defaultColWidth="9.00390625" defaultRowHeight="12"/>
  <cols>
    <col min="1" max="1" width="2.875" style="44" customWidth="1"/>
    <col min="2" max="2" width="16.125" style="44" bestFit="1" customWidth="1"/>
    <col min="3" max="6" width="10.875" style="44" customWidth="1"/>
    <col min="7" max="7" width="10.875" style="1" customWidth="1"/>
    <col min="8" max="8" width="3.125" style="1" bestFit="1" customWidth="1"/>
    <col min="9" max="9" width="12.75390625" style="1" bestFit="1" customWidth="1"/>
    <col min="10" max="16384" width="10.875" style="44" customWidth="1"/>
  </cols>
  <sheetData>
    <row r="1" ht="15.75">
      <c r="A1" s="103" t="s">
        <v>313</v>
      </c>
    </row>
    <row r="3" spans="3:6" ht="12">
      <c r="C3" s="1"/>
      <c r="D3" s="1"/>
      <c r="E3" s="1"/>
      <c r="F3" s="1" t="s">
        <v>223</v>
      </c>
    </row>
    <row r="4" spans="3:6" ht="12">
      <c r="C4" s="1"/>
      <c r="D4" s="1"/>
      <c r="E4" s="1" t="s">
        <v>221</v>
      </c>
      <c r="F4" s="1" t="s">
        <v>221</v>
      </c>
    </row>
    <row r="5" spans="2:9" ht="12">
      <c r="B5" s="102" t="s">
        <v>220</v>
      </c>
      <c r="C5" s="1" t="s">
        <v>218</v>
      </c>
      <c r="D5" s="1" t="s">
        <v>219</v>
      </c>
      <c r="E5" s="1" t="s">
        <v>222</v>
      </c>
      <c r="F5" s="1" t="s">
        <v>222</v>
      </c>
      <c r="G5" s="1" t="s">
        <v>260</v>
      </c>
      <c r="I5" s="1" t="s">
        <v>229</v>
      </c>
    </row>
    <row r="6" spans="2:9" ht="12">
      <c r="B6" s="3" t="s">
        <v>218</v>
      </c>
      <c r="C6" s="32">
        <v>80.00000000000162</v>
      </c>
      <c r="D6" s="33">
        <v>0</v>
      </c>
      <c r="E6" s="33">
        <v>19.9999999999971</v>
      </c>
      <c r="F6" s="34">
        <v>0</v>
      </c>
      <c r="G6" s="1">
        <f>SUM(C6:F6)</f>
        <v>99.99999999999872</v>
      </c>
      <c r="H6" s="1" t="s">
        <v>269</v>
      </c>
      <c r="I6" s="49">
        <v>100</v>
      </c>
    </row>
    <row r="7" spans="2:9" ht="12">
      <c r="B7" s="3" t="s">
        <v>219</v>
      </c>
      <c r="C7" s="36">
        <v>0</v>
      </c>
      <c r="D7" s="37">
        <v>0</v>
      </c>
      <c r="E7" s="37">
        <v>15</v>
      </c>
      <c r="F7" s="38">
        <v>60</v>
      </c>
      <c r="G7" s="1">
        <f>SUM(C7:F7)</f>
        <v>75</v>
      </c>
      <c r="H7" s="1" t="s">
        <v>269</v>
      </c>
      <c r="I7" s="49">
        <v>75</v>
      </c>
    </row>
    <row r="8" spans="2:9" ht="12">
      <c r="B8" s="3" t="s">
        <v>225</v>
      </c>
      <c r="C8" s="36">
        <v>0</v>
      </c>
      <c r="D8" s="37">
        <v>0</v>
      </c>
      <c r="E8" s="37">
        <v>4.999999999993723</v>
      </c>
      <c r="F8" s="38">
        <v>30</v>
      </c>
      <c r="G8" s="1">
        <f>SUM(C8:F8)</f>
        <v>34.999999999993726</v>
      </c>
      <c r="H8" s="1" t="s">
        <v>269</v>
      </c>
      <c r="I8" s="49">
        <v>35</v>
      </c>
    </row>
    <row r="9" spans="2:9" ht="12">
      <c r="B9" s="3" t="s">
        <v>224</v>
      </c>
      <c r="C9" s="39">
        <v>0</v>
      </c>
      <c r="D9" s="40">
        <v>0</v>
      </c>
      <c r="E9" s="40">
        <v>0</v>
      </c>
      <c r="F9" s="41">
        <v>30</v>
      </c>
      <c r="G9" s="1">
        <f>SUM(C9:F9)</f>
        <v>30</v>
      </c>
      <c r="H9" s="1" t="s">
        <v>269</v>
      </c>
      <c r="I9" s="49">
        <v>30</v>
      </c>
    </row>
    <row r="10" spans="2:6" ht="12">
      <c r="B10" s="3" t="s">
        <v>226</v>
      </c>
      <c r="C10" s="53">
        <f>SUM(C6:C9)</f>
        <v>80.00000000000162</v>
      </c>
      <c r="D10" s="54">
        <f>SUM(D6:D9)</f>
        <v>0</v>
      </c>
      <c r="E10" s="54">
        <f>SUM(E6:E9)</f>
        <v>39.99999999999083</v>
      </c>
      <c r="F10" s="55">
        <f>SUM(F6:F9)</f>
        <v>120</v>
      </c>
    </row>
    <row r="11" spans="2:9" ht="12.75" thickBot="1">
      <c r="B11" s="3"/>
      <c r="I11" s="1" t="s">
        <v>312</v>
      </c>
    </row>
    <row r="12" spans="2:9" ht="12.75" thickBot="1">
      <c r="B12" s="3" t="s">
        <v>230</v>
      </c>
      <c r="C12" s="50">
        <v>1</v>
      </c>
      <c r="D12" s="50">
        <v>2</v>
      </c>
      <c r="E12" s="50">
        <v>1.5</v>
      </c>
      <c r="F12" s="50">
        <v>2.5</v>
      </c>
      <c r="I12" s="51">
        <f>SUMPRODUCT(C12:F12,C10:F10)</f>
        <v>439.99999999998784</v>
      </c>
    </row>
    <row r="13" ht="12">
      <c r="B13" s="3"/>
    </row>
    <row r="15" spans="2:6" ht="12">
      <c r="B15" s="3" t="s">
        <v>227</v>
      </c>
      <c r="C15" s="45" t="s">
        <v>218</v>
      </c>
      <c r="D15" s="45" t="s">
        <v>219</v>
      </c>
      <c r="E15" s="45" t="s">
        <v>218</v>
      </c>
      <c r="F15" s="45" t="s">
        <v>218</v>
      </c>
    </row>
    <row r="16" spans="3:6" ht="12">
      <c r="C16" s="46">
        <f>C6</f>
        <v>80.00000000000162</v>
      </c>
      <c r="D16" s="46">
        <f>D7</f>
        <v>0</v>
      </c>
      <c r="E16" s="46">
        <f>E6</f>
        <v>19.9999999999971</v>
      </c>
      <c r="F16" s="46">
        <f>F6</f>
        <v>0</v>
      </c>
    </row>
    <row r="17" spans="3:6" ht="12">
      <c r="C17" s="46" t="s">
        <v>209</v>
      </c>
      <c r="D17" s="46" t="s">
        <v>209</v>
      </c>
      <c r="E17" s="46" t="s">
        <v>269</v>
      </c>
      <c r="F17" s="46" t="s">
        <v>269</v>
      </c>
    </row>
    <row r="18" spans="3:6" ht="12">
      <c r="C18" s="46">
        <f>C19*C10</f>
        <v>80.00000000000162</v>
      </c>
      <c r="D18" s="46">
        <f>D19*D10</f>
        <v>0</v>
      </c>
      <c r="E18" s="46">
        <f>E19*E10</f>
        <v>19.999999999995413</v>
      </c>
      <c r="F18" s="46">
        <f>F19*F10</f>
        <v>0</v>
      </c>
    </row>
    <row r="19" spans="3:6" ht="12">
      <c r="C19" s="47">
        <v>1</v>
      </c>
      <c r="D19" s="47">
        <v>1</v>
      </c>
      <c r="E19" s="47">
        <v>0.5</v>
      </c>
      <c r="F19" s="47">
        <v>0</v>
      </c>
    </row>
    <row r="20" spans="3:6" ht="12">
      <c r="C20" s="48" t="s">
        <v>260</v>
      </c>
      <c r="D20" s="48" t="s">
        <v>260</v>
      </c>
      <c r="E20" s="48" t="s">
        <v>260</v>
      </c>
      <c r="F20" s="48" t="s">
        <v>260</v>
      </c>
    </row>
    <row r="21" spans="3:6" ht="12">
      <c r="C21" s="1"/>
      <c r="D21" s="1"/>
      <c r="E21" s="1"/>
      <c r="F21" s="1"/>
    </row>
    <row r="22" spans="3:6" ht="12">
      <c r="C22" s="1"/>
      <c r="D22" s="1"/>
      <c r="E22" s="45" t="s">
        <v>219</v>
      </c>
      <c r="F22" s="45" t="s">
        <v>219</v>
      </c>
    </row>
    <row r="23" spans="3:6" ht="12">
      <c r="C23" s="1"/>
      <c r="D23" s="1"/>
      <c r="E23" s="46">
        <f>E7</f>
        <v>15</v>
      </c>
      <c r="F23" s="46">
        <f>F7</f>
        <v>60</v>
      </c>
    </row>
    <row r="24" spans="3:6" ht="12">
      <c r="C24" s="1"/>
      <c r="D24" s="1"/>
      <c r="E24" s="46" t="s">
        <v>268</v>
      </c>
      <c r="F24" s="46" t="s">
        <v>269</v>
      </c>
    </row>
    <row r="25" spans="3:6" ht="12">
      <c r="C25" s="1"/>
      <c r="D25" s="1"/>
      <c r="E25" s="46">
        <f>E26*E10</f>
        <v>7.999999999998166</v>
      </c>
      <c r="F25" s="46">
        <f>F26*F10</f>
        <v>72</v>
      </c>
    </row>
    <row r="26" spans="3:6" ht="12">
      <c r="C26" s="1"/>
      <c r="D26" s="1"/>
      <c r="E26" s="47">
        <v>0.2</v>
      </c>
      <c r="F26" s="47">
        <v>0.6</v>
      </c>
    </row>
    <row r="27" spans="3:6" ht="12">
      <c r="C27" s="1"/>
      <c r="D27" s="1"/>
      <c r="E27" s="48" t="s">
        <v>260</v>
      </c>
      <c r="F27" s="48" t="s">
        <v>260</v>
      </c>
    </row>
    <row r="28" spans="3:6" ht="12">
      <c r="C28" s="1"/>
      <c r="D28" s="1"/>
      <c r="E28" s="1"/>
      <c r="F28" s="1"/>
    </row>
    <row r="29" spans="3:6" ht="12">
      <c r="C29" s="1"/>
      <c r="D29" s="1"/>
      <c r="E29" s="45" t="s">
        <v>225</v>
      </c>
      <c r="F29" s="45" t="s">
        <v>225</v>
      </c>
    </row>
    <row r="30" spans="3:6" ht="12">
      <c r="C30" s="1"/>
      <c r="D30" s="1"/>
      <c r="E30" s="46">
        <f>E8</f>
        <v>4.999999999993723</v>
      </c>
      <c r="F30" s="46">
        <f>F8</f>
        <v>30</v>
      </c>
    </row>
    <row r="31" spans="3:6" ht="12">
      <c r="C31" s="1"/>
      <c r="D31" s="1"/>
      <c r="E31" s="46" t="s">
        <v>269</v>
      </c>
      <c r="F31" s="46" t="s">
        <v>269</v>
      </c>
    </row>
    <row r="32" spans="3:6" ht="12">
      <c r="C32" s="1"/>
      <c r="D32" s="1"/>
      <c r="E32" s="46">
        <f>E33*E10</f>
        <v>5.999999999998624</v>
      </c>
      <c r="F32" s="46">
        <f>F33*F10</f>
        <v>30</v>
      </c>
    </row>
    <row r="33" spans="3:6" ht="12">
      <c r="C33" s="1"/>
      <c r="D33" s="1"/>
      <c r="E33" s="47">
        <v>0.15</v>
      </c>
      <c r="F33" s="47">
        <v>0.25</v>
      </c>
    </row>
    <row r="34" spans="3:6" ht="12">
      <c r="C34" s="1"/>
      <c r="D34" s="1"/>
      <c r="E34" s="48" t="s">
        <v>260</v>
      </c>
      <c r="F34" s="48" t="s">
        <v>260</v>
      </c>
    </row>
    <row r="36" ht="12">
      <c r="F36" s="45" t="s">
        <v>228</v>
      </c>
    </row>
    <row r="37" ht="12">
      <c r="F37" s="46">
        <f>F9</f>
        <v>30</v>
      </c>
    </row>
    <row r="38" ht="12">
      <c r="F38" s="46" t="s">
        <v>268</v>
      </c>
    </row>
    <row r="39" ht="12">
      <c r="F39" s="46">
        <f>F40*F10</f>
        <v>30</v>
      </c>
    </row>
    <row r="40" ht="12">
      <c r="F40" s="47">
        <v>0.25</v>
      </c>
    </row>
    <row r="41" ht="12">
      <c r="F41" s="48" t="s">
        <v>260</v>
      </c>
    </row>
  </sheetData>
  <printOptions gridLines="1" headings="1"/>
  <pageMargins left="0.75" right="0.75" top="1" bottom="1" header="0.5" footer="0.5"/>
  <pageSetup fitToHeight="1" fitToWidth="1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5.25390625" style="1" customWidth="1"/>
    <col min="3" max="6" width="6.875" style="1" customWidth="1"/>
    <col min="7" max="7" width="6.875" style="8" customWidth="1"/>
    <col min="8" max="14" width="6.875" style="1" customWidth="1"/>
    <col min="15" max="16384" width="10.875" style="1" customWidth="1"/>
  </cols>
  <sheetData>
    <row r="1" ht="15.75">
      <c r="A1" s="2" t="s">
        <v>316</v>
      </c>
    </row>
    <row r="2" spans="2:14" ht="12">
      <c r="B2" s="8"/>
      <c r="C2" s="8"/>
      <c r="D2" s="8"/>
      <c r="E2" s="8"/>
      <c r="F2" s="8"/>
      <c r="H2" s="8"/>
      <c r="I2" s="8"/>
      <c r="J2" s="8"/>
      <c r="K2" s="8"/>
      <c r="L2" s="8"/>
      <c r="M2" s="8"/>
      <c r="N2" s="8"/>
    </row>
    <row r="3" spans="2:14" ht="12">
      <c r="B3" s="57" t="s">
        <v>314</v>
      </c>
      <c r="C3" s="63">
        <v>125</v>
      </c>
      <c r="D3" s="9"/>
      <c r="E3" s="9"/>
      <c r="F3" s="9"/>
      <c r="G3" s="9"/>
      <c r="H3" s="9"/>
      <c r="I3" s="8"/>
      <c r="J3" s="8"/>
      <c r="K3" s="8"/>
      <c r="L3" s="8"/>
      <c r="M3" s="8"/>
      <c r="N3" s="8"/>
    </row>
    <row r="4" spans="2:14" ht="12">
      <c r="B4" s="57" t="s">
        <v>230</v>
      </c>
      <c r="C4" s="64">
        <v>200</v>
      </c>
      <c r="D4" s="13"/>
      <c r="E4" s="13"/>
      <c r="F4" s="13"/>
      <c r="G4" s="13"/>
      <c r="H4" s="9"/>
      <c r="I4" s="8"/>
      <c r="J4" s="8"/>
      <c r="K4" s="8"/>
      <c r="L4" s="8"/>
      <c r="M4" s="8"/>
      <c r="N4" s="8"/>
    </row>
    <row r="5" spans="2:14" ht="12">
      <c r="B5" s="57" t="s">
        <v>315</v>
      </c>
      <c r="C5" s="64">
        <v>5</v>
      </c>
      <c r="D5" s="13"/>
      <c r="E5" s="13"/>
      <c r="F5" s="13"/>
      <c r="G5" s="13"/>
      <c r="H5" s="9"/>
      <c r="I5" s="8"/>
      <c r="J5" s="8"/>
      <c r="K5" s="8"/>
      <c r="L5" s="8"/>
      <c r="M5" s="8"/>
      <c r="N5" s="8"/>
    </row>
    <row r="6" spans="2:14" ht="12">
      <c r="B6" s="57" t="s">
        <v>332</v>
      </c>
      <c r="C6" s="60">
        <v>5</v>
      </c>
      <c r="D6" s="13"/>
      <c r="E6" s="13"/>
      <c r="F6" s="13"/>
      <c r="G6" s="13"/>
      <c r="H6" s="9"/>
      <c r="I6" s="8"/>
      <c r="J6" s="8"/>
      <c r="K6" s="8"/>
      <c r="L6" s="8"/>
      <c r="M6" s="8"/>
      <c r="N6" s="8"/>
    </row>
    <row r="7" spans="2:14" ht="12">
      <c r="B7" s="62"/>
      <c r="C7" s="13"/>
      <c r="D7" s="13"/>
      <c r="E7" s="13"/>
      <c r="F7" s="13"/>
      <c r="G7" s="13"/>
      <c r="H7" s="9"/>
      <c r="I7" s="8"/>
      <c r="J7" s="8"/>
      <c r="K7" s="8"/>
      <c r="L7" s="8"/>
      <c r="M7" s="8"/>
      <c r="N7" s="8"/>
    </row>
    <row r="8" spans="2:14" ht="12">
      <c r="B8" s="57"/>
      <c r="C8" s="58" t="s">
        <v>318</v>
      </c>
      <c r="D8" s="58" t="s">
        <v>319</v>
      </c>
      <c r="E8" s="20" t="s">
        <v>320</v>
      </c>
      <c r="F8" s="20" t="s">
        <v>321</v>
      </c>
      <c r="G8" s="20" t="s">
        <v>322</v>
      </c>
      <c r="H8" s="9" t="s">
        <v>327</v>
      </c>
      <c r="I8" s="8" t="s">
        <v>328</v>
      </c>
      <c r="J8" s="8" t="s">
        <v>323</v>
      </c>
      <c r="K8" s="8" t="s">
        <v>329</v>
      </c>
      <c r="L8" s="8" t="s">
        <v>324</v>
      </c>
      <c r="M8" s="8" t="s">
        <v>325</v>
      </c>
      <c r="N8" s="8" t="s">
        <v>326</v>
      </c>
    </row>
    <row r="9" spans="2:14" ht="12">
      <c r="B9" s="57" t="s">
        <v>317</v>
      </c>
      <c r="C9" s="69">
        <v>10</v>
      </c>
      <c r="D9" s="70">
        <v>34</v>
      </c>
      <c r="E9" s="71">
        <v>50</v>
      </c>
      <c r="F9" s="71">
        <v>50</v>
      </c>
      <c r="G9" s="71">
        <v>50</v>
      </c>
      <c r="H9" s="72">
        <v>50</v>
      </c>
      <c r="I9" s="72">
        <v>50</v>
      </c>
      <c r="J9" s="72">
        <v>50</v>
      </c>
      <c r="K9" s="72">
        <v>40</v>
      </c>
      <c r="L9" s="72">
        <v>25</v>
      </c>
      <c r="M9" s="72">
        <v>15</v>
      </c>
      <c r="N9" s="73">
        <v>15</v>
      </c>
    </row>
    <row r="10" spans="2:15" ht="12">
      <c r="B10" s="57"/>
      <c r="C10" s="58" t="s">
        <v>269</v>
      </c>
      <c r="D10" s="58" t="s">
        <v>269</v>
      </c>
      <c r="E10" s="58" t="s">
        <v>269</v>
      </c>
      <c r="F10" s="58" t="s">
        <v>269</v>
      </c>
      <c r="G10" s="58" t="s">
        <v>269</v>
      </c>
      <c r="H10" s="58" t="s">
        <v>269</v>
      </c>
      <c r="I10" s="58" t="s">
        <v>269</v>
      </c>
      <c r="J10" s="58" t="s">
        <v>269</v>
      </c>
      <c r="K10" s="58" t="s">
        <v>269</v>
      </c>
      <c r="L10" s="58" t="s">
        <v>269</v>
      </c>
      <c r="M10" s="58" t="s">
        <v>269</v>
      </c>
      <c r="N10" s="58" t="s">
        <v>269</v>
      </c>
      <c r="O10" s="8"/>
    </row>
    <row r="11" spans="2:15" ht="12">
      <c r="B11" s="57" t="s">
        <v>330</v>
      </c>
      <c r="C11" s="66">
        <v>50</v>
      </c>
      <c r="D11" s="66">
        <v>50</v>
      </c>
      <c r="E11" s="66">
        <v>50</v>
      </c>
      <c r="F11" s="66">
        <v>50</v>
      </c>
      <c r="G11" s="66">
        <v>50</v>
      </c>
      <c r="H11" s="66">
        <v>50</v>
      </c>
      <c r="I11" s="66">
        <v>50</v>
      </c>
      <c r="J11" s="66">
        <v>50</v>
      </c>
      <c r="K11" s="66">
        <v>50</v>
      </c>
      <c r="L11" s="66">
        <v>50</v>
      </c>
      <c r="M11" s="66">
        <v>50</v>
      </c>
      <c r="N11" s="66">
        <v>50</v>
      </c>
      <c r="O11" s="8"/>
    </row>
    <row r="12" spans="2:15" s="7" customFormat="1" ht="12">
      <c r="B12" s="57"/>
      <c r="C12" s="58"/>
      <c r="D12" s="58"/>
      <c r="E12" s="20"/>
      <c r="F12" s="20"/>
      <c r="G12" s="20"/>
      <c r="H12" s="9"/>
      <c r="I12" s="59"/>
      <c r="J12" s="59"/>
      <c r="K12" s="59"/>
      <c r="L12" s="59"/>
      <c r="M12" s="59"/>
      <c r="N12" s="59"/>
      <c r="O12" s="59"/>
    </row>
    <row r="13" spans="2:15" s="7" customFormat="1" ht="12">
      <c r="B13" s="57" t="s">
        <v>334</v>
      </c>
      <c r="C13" s="58">
        <f>C6+C9</f>
        <v>15</v>
      </c>
      <c r="D13" s="58">
        <f>C17+D9</f>
        <v>39</v>
      </c>
      <c r="E13" s="58">
        <f aca="true" t="shared" si="0" ref="E13:N13">D17+E9</f>
        <v>75</v>
      </c>
      <c r="F13" s="58">
        <f t="shared" si="0"/>
        <v>110</v>
      </c>
      <c r="G13" s="58">
        <f t="shared" si="0"/>
        <v>140</v>
      </c>
      <c r="H13" s="58">
        <f t="shared" si="0"/>
        <v>145</v>
      </c>
      <c r="I13" s="58">
        <f t="shared" si="0"/>
        <v>130</v>
      </c>
      <c r="J13" s="58">
        <f t="shared" si="0"/>
        <v>95</v>
      </c>
      <c r="K13" s="58">
        <f t="shared" si="0"/>
        <v>50</v>
      </c>
      <c r="L13" s="58">
        <f t="shared" si="0"/>
        <v>35</v>
      </c>
      <c r="M13" s="58">
        <f t="shared" si="0"/>
        <v>20</v>
      </c>
      <c r="N13" s="58">
        <f t="shared" si="0"/>
        <v>20</v>
      </c>
      <c r="O13" s="59"/>
    </row>
    <row r="14" spans="2:15" s="7" customFormat="1" ht="12">
      <c r="B14" s="57"/>
      <c r="C14" s="58" t="s">
        <v>268</v>
      </c>
      <c r="D14" s="58" t="s">
        <v>268</v>
      </c>
      <c r="E14" s="58" t="s">
        <v>268</v>
      </c>
      <c r="F14" s="58" t="s">
        <v>268</v>
      </c>
      <c r="G14" s="58" t="s">
        <v>268</v>
      </c>
      <c r="H14" s="58" t="s">
        <v>268</v>
      </c>
      <c r="I14" s="58" t="s">
        <v>268</v>
      </c>
      <c r="J14" s="58" t="s">
        <v>268</v>
      </c>
      <c r="K14" s="58" t="s">
        <v>268</v>
      </c>
      <c r="L14" s="58" t="s">
        <v>268</v>
      </c>
      <c r="M14" s="58" t="s">
        <v>268</v>
      </c>
      <c r="N14" s="58" t="s">
        <v>268</v>
      </c>
      <c r="O14" s="59"/>
    </row>
    <row r="15" spans="2:15" ht="12">
      <c r="B15" s="57" t="s">
        <v>331</v>
      </c>
      <c r="C15" s="31">
        <v>10</v>
      </c>
      <c r="D15" s="31">
        <v>14</v>
      </c>
      <c r="E15" s="31">
        <v>15</v>
      </c>
      <c r="F15" s="31">
        <v>20</v>
      </c>
      <c r="G15" s="31">
        <v>45</v>
      </c>
      <c r="H15" s="31">
        <v>65</v>
      </c>
      <c r="I15" s="61">
        <v>85</v>
      </c>
      <c r="J15" s="61">
        <v>85</v>
      </c>
      <c r="K15" s="61">
        <v>40</v>
      </c>
      <c r="L15" s="61">
        <v>30</v>
      </c>
      <c r="M15" s="61">
        <v>15</v>
      </c>
      <c r="N15" s="61">
        <v>15</v>
      </c>
      <c r="O15" s="8"/>
    </row>
    <row r="16" spans="2:15" ht="12">
      <c r="B16" s="57"/>
      <c r="C16" s="9"/>
      <c r="D16" s="9"/>
      <c r="E16" s="9"/>
      <c r="F16" s="9"/>
      <c r="G16" s="9"/>
      <c r="H16" s="9"/>
      <c r="I16" s="8"/>
      <c r="J16" s="8"/>
      <c r="K16" s="8"/>
      <c r="L16" s="8"/>
      <c r="M16" s="8"/>
      <c r="N16" s="8"/>
      <c r="O16" s="8"/>
    </row>
    <row r="17" spans="2:15" ht="12">
      <c r="B17" s="57" t="s">
        <v>333</v>
      </c>
      <c r="C17" s="68">
        <f>C13-C15</f>
        <v>5</v>
      </c>
      <c r="D17" s="68">
        <f aca="true" t="shared" si="1" ref="D17:N17">D13-D15</f>
        <v>25</v>
      </c>
      <c r="E17" s="68">
        <f t="shared" si="1"/>
        <v>60</v>
      </c>
      <c r="F17" s="68">
        <f t="shared" si="1"/>
        <v>90</v>
      </c>
      <c r="G17" s="68">
        <f t="shared" si="1"/>
        <v>95</v>
      </c>
      <c r="H17" s="68">
        <f t="shared" si="1"/>
        <v>80</v>
      </c>
      <c r="I17" s="68">
        <f t="shared" si="1"/>
        <v>45</v>
      </c>
      <c r="J17" s="68">
        <f t="shared" si="1"/>
        <v>10</v>
      </c>
      <c r="K17" s="68">
        <f t="shared" si="1"/>
        <v>10</v>
      </c>
      <c r="L17" s="68">
        <f t="shared" si="1"/>
        <v>5</v>
      </c>
      <c r="M17" s="68">
        <f t="shared" si="1"/>
        <v>5</v>
      </c>
      <c r="N17" s="68">
        <f t="shared" si="1"/>
        <v>5</v>
      </c>
      <c r="O17" s="8"/>
    </row>
    <row r="18" spans="2:15" ht="12">
      <c r="B18" s="57"/>
      <c r="C18" s="68" t="s">
        <v>268</v>
      </c>
      <c r="D18" s="68" t="s">
        <v>268</v>
      </c>
      <c r="E18" s="68" t="s">
        <v>268</v>
      </c>
      <c r="F18" s="68" t="s">
        <v>268</v>
      </c>
      <c r="G18" s="68" t="s">
        <v>268</v>
      </c>
      <c r="H18" s="68" t="s">
        <v>268</v>
      </c>
      <c r="I18" s="68" t="s">
        <v>268</v>
      </c>
      <c r="J18" s="68" t="s">
        <v>268</v>
      </c>
      <c r="K18" s="68" t="s">
        <v>268</v>
      </c>
      <c r="L18" s="68" t="s">
        <v>268</v>
      </c>
      <c r="M18" s="68" t="s">
        <v>268</v>
      </c>
      <c r="N18" s="68" t="s">
        <v>268</v>
      </c>
      <c r="O18" s="8"/>
    </row>
    <row r="19" spans="2:15" ht="12">
      <c r="B19" s="57" t="s">
        <v>337</v>
      </c>
      <c r="C19" s="74">
        <v>5</v>
      </c>
      <c r="D19" s="74">
        <v>5</v>
      </c>
      <c r="E19" s="74">
        <v>5</v>
      </c>
      <c r="F19" s="74">
        <v>5</v>
      </c>
      <c r="G19" s="74">
        <v>10</v>
      </c>
      <c r="H19" s="74">
        <v>10</v>
      </c>
      <c r="I19" s="74">
        <v>10</v>
      </c>
      <c r="J19" s="74">
        <v>10</v>
      </c>
      <c r="K19" s="74">
        <v>10</v>
      </c>
      <c r="L19" s="74">
        <v>5</v>
      </c>
      <c r="M19" s="74">
        <v>5</v>
      </c>
      <c r="N19" s="74">
        <v>5</v>
      </c>
      <c r="O19" s="8"/>
    </row>
    <row r="20" spans="2:15" s="7" customFormat="1" ht="1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59"/>
    </row>
    <row r="21" spans="2:15" ht="12">
      <c r="B21" s="9"/>
      <c r="C21" s="9"/>
      <c r="D21" s="9"/>
      <c r="E21" s="9"/>
      <c r="F21" s="9"/>
      <c r="G21" s="9"/>
      <c r="H21" s="9"/>
      <c r="I21" s="8"/>
      <c r="J21" s="8"/>
      <c r="K21" s="8"/>
      <c r="L21" s="8"/>
      <c r="M21" s="8"/>
      <c r="N21" s="8"/>
      <c r="O21" s="8" t="s">
        <v>260</v>
      </c>
    </row>
    <row r="22" spans="2:15" ht="12">
      <c r="B22" s="57" t="s">
        <v>335</v>
      </c>
      <c r="C22" s="56">
        <f>$C$4*C15</f>
        <v>2000</v>
      </c>
      <c r="D22" s="56">
        <f aca="true" t="shared" si="2" ref="D22:N22">$C$4*D15</f>
        <v>2800</v>
      </c>
      <c r="E22" s="56">
        <f t="shared" si="2"/>
        <v>3000</v>
      </c>
      <c r="F22" s="56">
        <f t="shared" si="2"/>
        <v>4000</v>
      </c>
      <c r="G22" s="56">
        <f t="shared" si="2"/>
        <v>9000</v>
      </c>
      <c r="H22" s="56">
        <f t="shared" si="2"/>
        <v>13000</v>
      </c>
      <c r="I22" s="56">
        <f t="shared" si="2"/>
        <v>17000</v>
      </c>
      <c r="J22" s="56">
        <f t="shared" si="2"/>
        <v>17000</v>
      </c>
      <c r="K22" s="56">
        <f t="shared" si="2"/>
        <v>8000</v>
      </c>
      <c r="L22" s="56">
        <f t="shared" si="2"/>
        <v>6000</v>
      </c>
      <c r="M22" s="56">
        <f t="shared" si="2"/>
        <v>3000</v>
      </c>
      <c r="N22" s="56">
        <f t="shared" si="2"/>
        <v>3000</v>
      </c>
      <c r="O22" s="67">
        <f>SUM(C22:N22)</f>
        <v>87800</v>
      </c>
    </row>
    <row r="23" spans="2:15" ht="12">
      <c r="B23" s="65" t="s">
        <v>314</v>
      </c>
      <c r="C23" s="67">
        <f>$C$3*C9</f>
        <v>1250</v>
      </c>
      <c r="D23" s="67">
        <f aca="true" t="shared" si="3" ref="D23:N23">$C$3*D9</f>
        <v>4250</v>
      </c>
      <c r="E23" s="67">
        <f t="shared" si="3"/>
        <v>6250</v>
      </c>
      <c r="F23" s="67">
        <f t="shared" si="3"/>
        <v>6250</v>
      </c>
      <c r="G23" s="67">
        <f t="shared" si="3"/>
        <v>6250</v>
      </c>
      <c r="H23" s="67">
        <f t="shared" si="3"/>
        <v>6250</v>
      </c>
      <c r="I23" s="67">
        <f t="shared" si="3"/>
        <v>6250</v>
      </c>
      <c r="J23" s="67">
        <f t="shared" si="3"/>
        <v>6250</v>
      </c>
      <c r="K23" s="67">
        <f t="shared" si="3"/>
        <v>5000</v>
      </c>
      <c r="L23" s="67">
        <f t="shared" si="3"/>
        <v>3125</v>
      </c>
      <c r="M23" s="67">
        <f t="shared" si="3"/>
        <v>1875</v>
      </c>
      <c r="N23" s="67">
        <f t="shared" si="3"/>
        <v>1875</v>
      </c>
      <c r="O23" s="67">
        <f>SUM(C23:N23)</f>
        <v>54875</v>
      </c>
    </row>
    <row r="24" spans="2:15" ht="12.75" thickBot="1">
      <c r="B24" s="65" t="s">
        <v>315</v>
      </c>
      <c r="C24" s="67">
        <f>$C$5*C17</f>
        <v>25</v>
      </c>
      <c r="D24" s="67">
        <f aca="true" t="shared" si="4" ref="D24:N24">$C$5*D17</f>
        <v>125</v>
      </c>
      <c r="E24" s="67">
        <f t="shared" si="4"/>
        <v>300</v>
      </c>
      <c r="F24" s="67">
        <f t="shared" si="4"/>
        <v>450</v>
      </c>
      <c r="G24" s="67">
        <f t="shared" si="4"/>
        <v>475</v>
      </c>
      <c r="H24" s="67">
        <f t="shared" si="4"/>
        <v>400</v>
      </c>
      <c r="I24" s="67">
        <f t="shared" si="4"/>
        <v>225</v>
      </c>
      <c r="J24" s="67">
        <f t="shared" si="4"/>
        <v>50</v>
      </c>
      <c r="K24" s="67">
        <f t="shared" si="4"/>
        <v>50</v>
      </c>
      <c r="L24" s="67">
        <f t="shared" si="4"/>
        <v>25</v>
      </c>
      <c r="M24" s="67">
        <f t="shared" si="4"/>
        <v>25</v>
      </c>
      <c r="N24" s="67">
        <f t="shared" si="4"/>
        <v>25</v>
      </c>
      <c r="O24" s="67">
        <f>SUM(C24:N24)</f>
        <v>2175</v>
      </c>
    </row>
    <row r="25" spans="2:15" ht="12.75" thickBot="1">
      <c r="B25" s="65" t="s">
        <v>336</v>
      </c>
      <c r="C25" s="67">
        <f>C22-C23-C24</f>
        <v>725</v>
      </c>
      <c r="D25" s="67">
        <f aca="true" t="shared" si="5" ref="D25:N25">D22-D23-D24</f>
        <v>-1575</v>
      </c>
      <c r="E25" s="67">
        <f t="shared" si="5"/>
        <v>-3550</v>
      </c>
      <c r="F25" s="67">
        <f t="shared" si="5"/>
        <v>-2700</v>
      </c>
      <c r="G25" s="67">
        <f t="shared" si="5"/>
        <v>2275</v>
      </c>
      <c r="H25" s="67">
        <f t="shared" si="5"/>
        <v>6350</v>
      </c>
      <c r="I25" s="67">
        <f t="shared" si="5"/>
        <v>10525</v>
      </c>
      <c r="J25" s="67">
        <f t="shared" si="5"/>
        <v>10700</v>
      </c>
      <c r="K25" s="67">
        <f t="shared" si="5"/>
        <v>2950</v>
      </c>
      <c r="L25" s="67">
        <f t="shared" si="5"/>
        <v>2850</v>
      </c>
      <c r="M25" s="67">
        <f t="shared" si="5"/>
        <v>1100</v>
      </c>
      <c r="N25" s="67">
        <f t="shared" si="5"/>
        <v>1100</v>
      </c>
      <c r="O25" s="23">
        <f>SUM(C25:N25)</f>
        <v>30750</v>
      </c>
    </row>
    <row r="26" spans="2:15" ht="12">
      <c r="B26" s="8"/>
      <c r="C26" s="8"/>
      <c r="D26" s="8"/>
      <c r="E26" s="8"/>
      <c r="F26" s="8"/>
      <c r="H26" s="8"/>
      <c r="I26" s="8"/>
      <c r="J26" s="8"/>
      <c r="K26" s="8"/>
      <c r="L26" s="8"/>
      <c r="M26" s="8"/>
      <c r="N26" s="8"/>
      <c r="O26" s="8"/>
    </row>
    <row r="27" spans="2:15" ht="12">
      <c r="B27" s="8"/>
      <c r="C27" s="8"/>
      <c r="D27" s="8"/>
      <c r="E27" s="8"/>
      <c r="F27" s="8"/>
      <c r="H27" s="8"/>
      <c r="I27" s="8"/>
      <c r="J27" s="8"/>
      <c r="K27" s="8"/>
      <c r="L27" s="8"/>
      <c r="M27" s="8"/>
      <c r="N27" s="8"/>
      <c r="O27" s="8"/>
    </row>
    <row r="28" spans="2:15" ht="12">
      <c r="B28" s="8"/>
      <c r="C28" s="8"/>
      <c r="D28" s="8"/>
      <c r="E28" s="8"/>
      <c r="F28" s="8"/>
      <c r="H28" s="8"/>
      <c r="I28" s="8"/>
      <c r="J28" s="8"/>
      <c r="K28" s="8"/>
      <c r="L28" s="8"/>
      <c r="M28" s="8"/>
      <c r="N28" s="8"/>
      <c r="O28" s="8"/>
    </row>
    <row r="29" spans="2:15" ht="12">
      <c r="B29" s="8"/>
      <c r="C29" s="8"/>
      <c r="D29" s="8"/>
      <c r="E29" s="8"/>
      <c r="F29" s="8"/>
      <c r="H29" s="8"/>
      <c r="I29" s="8"/>
      <c r="J29" s="8"/>
      <c r="K29" s="8"/>
      <c r="L29" s="8"/>
      <c r="M29" s="8"/>
      <c r="N29" s="8"/>
      <c r="O29" s="8"/>
    </row>
    <row r="30" spans="2:15" ht="12">
      <c r="B30" s="8"/>
      <c r="C30" s="8"/>
      <c r="D30" s="8"/>
      <c r="E30" s="8"/>
      <c r="F30" s="8"/>
      <c r="H30" s="8"/>
      <c r="I30" s="8"/>
      <c r="J30" s="8"/>
      <c r="K30" s="8"/>
      <c r="L30" s="8"/>
      <c r="M30" s="8"/>
      <c r="N30" s="8"/>
      <c r="O30" s="8"/>
    </row>
    <row r="31" spans="2:15" ht="12">
      <c r="B31" s="8"/>
      <c r="C31" s="8"/>
      <c r="D31" s="8"/>
      <c r="E31" s="8"/>
      <c r="F31" s="8"/>
      <c r="H31" s="8"/>
      <c r="I31" s="8"/>
      <c r="J31" s="8"/>
      <c r="K31" s="8"/>
      <c r="L31" s="8"/>
      <c r="M31" s="8"/>
      <c r="N31" s="8"/>
      <c r="O31" s="8"/>
    </row>
    <row r="32" spans="2:15" ht="12">
      <c r="B32" s="8"/>
      <c r="C32" s="8"/>
      <c r="D32" s="8"/>
      <c r="E32" s="8"/>
      <c r="F32" s="8"/>
      <c r="H32" s="8"/>
      <c r="I32" s="8"/>
      <c r="J32" s="8"/>
      <c r="K32" s="8"/>
      <c r="L32" s="8"/>
      <c r="M32" s="8"/>
      <c r="N32" s="8"/>
      <c r="O32" s="8"/>
    </row>
    <row r="33" spans="2:15" ht="12">
      <c r="B33" s="8"/>
      <c r="C33" s="8"/>
      <c r="D33" s="8"/>
      <c r="E33" s="8"/>
      <c r="F33" s="8"/>
      <c r="H33" s="8"/>
      <c r="I33" s="8"/>
      <c r="J33" s="8"/>
      <c r="K33" s="8"/>
      <c r="L33" s="8"/>
      <c r="M33" s="8"/>
      <c r="N33" s="8"/>
      <c r="O33" s="8"/>
    </row>
    <row r="34" spans="2:15" ht="12">
      <c r="B34" s="8"/>
      <c r="C34" s="8"/>
      <c r="D34" s="8"/>
      <c r="E34" s="8"/>
      <c r="F34" s="8"/>
      <c r="H34" s="8"/>
      <c r="I34" s="8"/>
      <c r="J34" s="8"/>
      <c r="K34" s="8"/>
      <c r="L34" s="8"/>
      <c r="M34" s="8"/>
      <c r="N34" s="8"/>
      <c r="O34" s="8"/>
    </row>
    <row r="35" spans="2:15" ht="12">
      <c r="B35" s="8"/>
      <c r="C35" s="8"/>
      <c r="D35" s="8"/>
      <c r="E35" s="8"/>
      <c r="F35" s="8"/>
      <c r="H35" s="8"/>
      <c r="I35" s="8"/>
      <c r="J35" s="8"/>
      <c r="K35" s="8"/>
      <c r="L35" s="8"/>
      <c r="M35" s="8"/>
      <c r="N35" s="8"/>
      <c r="O35" s="8"/>
    </row>
    <row r="36" spans="2:15" ht="12">
      <c r="B36" s="8"/>
      <c r="C36" s="8"/>
      <c r="D36" s="8"/>
      <c r="E36" s="8"/>
      <c r="F36" s="8"/>
      <c r="H36" s="8"/>
      <c r="I36" s="8"/>
      <c r="J36" s="8"/>
      <c r="K36" s="8"/>
      <c r="L36" s="8"/>
      <c r="M36" s="8"/>
      <c r="N36" s="8"/>
      <c r="O36" s="8"/>
    </row>
  </sheetData>
  <printOptions gridLines="1" headings="1"/>
  <pageMargins left="0.75" right="0.75" top="1" bottom="1" header="0.5" footer="0.5"/>
  <pageSetup fitToHeight="1" fitToWidth="1" orientation="portrait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25.25390625" style="1" bestFit="1" customWidth="1"/>
    <col min="3" max="6" width="6.875" style="1" customWidth="1"/>
    <col min="7" max="7" width="6.875" style="8" customWidth="1"/>
    <col min="8" max="14" width="6.875" style="1" customWidth="1"/>
    <col min="15" max="16384" width="10.875" style="1" customWidth="1"/>
  </cols>
  <sheetData>
    <row r="1" ht="15.75">
      <c r="A1" s="2" t="s">
        <v>204</v>
      </c>
    </row>
    <row r="2" spans="2:14" ht="12">
      <c r="B2" s="8"/>
      <c r="C2" s="8"/>
      <c r="D2" s="8"/>
      <c r="E2" s="8"/>
      <c r="F2" s="8"/>
      <c r="H2" s="8"/>
      <c r="I2" s="8"/>
      <c r="J2" s="8"/>
      <c r="K2" s="8"/>
      <c r="L2" s="8"/>
      <c r="M2" s="8"/>
      <c r="N2" s="8"/>
    </row>
    <row r="3" spans="2:14" ht="12">
      <c r="B3" s="57" t="s">
        <v>338</v>
      </c>
      <c r="C3" s="63">
        <v>4000</v>
      </c>
      <c r="D3" s="9"/>
      <c r="E3" s="9"/>
      <c r="F3" s="9"/>
      <c r="G3" s="9"/>
      <c r="H3" s="9"/>
      <c r="I3" s="8"/>
      <c r="J3" s="8"/>
      <c r="K3" s="8"/>
      <c r="L3" s="8"/>
      <c r="M3" s="8"/>
      <c r="N3" s="8"/>
    </row>
    <row r="4" spans="2:14" ht="12">
      <c r="B4" s="57" t="s">
        <v>171</v>
      </c>
      <c r="C4" s="63">
        <v>2500</v>
      </c>
      <c r="D4" s="9"/>
      <c r="E4" s="9"/>
      <c r="F4" s="9"/>
      <c r="G4" s="9"/>
      <c r="H4" s="9"/>
      <c r="I4" s="8"/>
      <c r="J4" s="8"/>
      <c r="K4" s="8"/>
      <c r="L4" s="8"/>
      <c r="M4" s="8"/>
      <c r="N4" s="8"/>
    </row>
    <row r="5" spans="2:14" ht="12">
      <c r="B5" s="57" t="s">
        <v>161</v>
      </c>
      <c r="C5" s="64">
        <v>2000</v>
      </c>
      <c r="D5" s="13"/>
      <c r="E5" s="13"/>
      <c r="F5" s="13"/>
      <c r="G5" s="13"/>
      <c r="H5" s="9"/>
      <c r="I5" s="8"/>
      <c r="J5" s="8"/>
      <c r="K5" s="8"/>
      <c r="L5" s="8"/>
      <c r="M5" s="8"/>
      <c r="N5" s="8"/>
    </row>
    <row r="6" spans="2:14" ht="12">
      <c r="B6" s="57" t="s">
        <v>167</v>
      </c>
      <c r="C6" s="60">
        <v>100</v>
      </c>
      <c r="D6" s="13"/>
      <c r="E6" s="13"/>
      <c r="F6" s="13"/>
      <c r="G6" s="13"/>
      <c r="H6" s="9"/>
      <c r="I6" s="8"/>
      <c r="J6" s="8"/>
      <c r="K6" s="8"/>
      <c r="L6" s="8"/>
      <c r="M6" s="8"/>
      <c r="N6" s="8"/>
    </row>
    <row r="7" spans="2:14" ht="12">
      <c r="B7" s="57" t="s">
        <v>166</v>
      </c>
      <c r="C7" s="60">
        <v>160</v>
      </c>
      <c r="D7" s="13"/>
      <c r="E7" s="13"/>
      <c r="F7" s="13"/>
      <c r="G7" s="13"/>
      <c r="H7" s="9"/>
      <c r="I7" s="8"/>
      <c r="J7" s="8"/>
      <c r="K7" s="8"/>
      <c r="L7" s="8"/>
      <c r="M7" s="8"/>
      <c r="N7" s="8"/>
    </row>
    <row r="8" spans="2:14" ht="12">
      <c r="B8" s="57" t="s">
        <v>168</v>
      </c>
      <c r="C8" s="60">
        <v>10</v>
      </c>
      <c r="D8" s="13"/>
      <c r="E8" s="13"/>
      <c r="F8" s="13"/>
      <c r="G8" s="13"/>
      <c r="H8" s="9"/>
      <c r="I8" s="8"/>
      <c r="J8" s="8"/>
      <c r="K8" s="8"/>
      <c r="L8" s="8"/>
      <c r="M8" s="8"/>
      <c r="N8" s="8"/>
    </row>
    <row r="9" spans="2:14" ht="12">
      <c r="B9" s="62"/>
      <c r="C9" s="13"/>
      <c r="D9" s="13"/>
      <c r="E9" s="13"/>
      <c r="F9" s="13"/>
      <c r="G9" s="13"/>
      <c r="H9" s="9"/>
      <c r="I9" s="8"/>
      <c r="J9" s="8"/>
      <c r="K9" s="8"/>
      <c r="L9" s="8"/>
      <c r="M9" s="8"/>
      <c r="N9" s="8"/>
    </row>
    <row r="10" spans="2:14" ht="12">
      <c r="B10" s="57"/>
      <c r="C10" s="58" t="s">
        <v>318</v>
      </c>
      <c r="D10" s="58" t="s">
        <v>319</v>
      </c>
      <c r="E10" s="20" t="s">
        <v>320</v>
      </c>
      <c r="F10" s="20" t="s">
        <v>321</v>
      </c>
      <c r="G10" s="20" t="s">
        <v>322</v>
      </c>
      <c r="H10" s="9" t="s">
        <v>327</v>
      </c>
      <c r="I10" s="8" t="s">
        <v>328</v>
      </c>
      <c r="J10" s="8" t="s">
        <v>323</v>
      </c>
      <c r="K10" s="8" t="s">
        <v>329</v>
      </c>
      <c r="L10" s="8" t="s">
        <v>324</v>
      </c>
      <c r="M10" s="8" t="s">
        <v>325</v>
      </c>
      <c r="N10" s="8" t="s">
        <v>326</v>
      </c>
    </row>
    <row r="11" spans="2:14" ht="12">
      <c r="B11" s="57" t="s">
        <v>164</v>
      </c>
      <c r="C11" s="75">
        <v>2</v>
      </c>
      <c r="D11" s="76">
        <v>1</v>
      </c>
      <c r="E11" s="77">
        <v>0</v>
      </c>
      <c r="F11" s="77">
        <v>2</v>
      </c>
      <c r="G11" s="77">
        <v>4</v>
      </c>
      <c r="H11" s="78">
        <v>3</v>
      </c>
      <c r="I11" s="78">
        <v>0.9999999999999982</v>
      </c>
      <c r="J11" s="78">
        <v>0</v>
      </c>
      <c r="K11" s="78">
        <v>0</v>
      </c>
      <c r="L11" s="78">
        <v>0</v>
      </c>
      <c r="M11" s="78">
        <v>2.0000000000696057</v>
      </c>
      <c r="N11" s="79">
        <v>0</v>
      </c>
    </row>
    <row r="12" spans="2:16" ht="12">
      <c r="B12" s="57" t="s">
        <v>163</v>
      </c>
      <c r="C12" s="80">
        <v>0</v>
      </c>
      <c r="D12" s="81">
        <v>0</v>
      </c>
      <c r="E12" s="82">
        <v>0</v>
      </c>
      <c r="F12" s="82">
        <v>0</v>
      </c>
      <c r="G12" s="82">
        <v>0</v>
      </c>
      <c r="H12" s="83">
        <v>0</v>
      </c>
      <c r="I12" s="83">
        <v>0</v>
      </c>
      <c r="J12" s="83">
        <v>3</v>
      </c>
      <c r="K12" s="83">
        <v>10</v>
      </c>
      <c r="L12" s="83">
        <v>0</v>
      </c>
      <c r="M12" s="83">
        <v>0</v>
      </c>
      <c r="N12" s="84">
        <v>0</v>
      </c>
      <c r="P12" s="1" t="s">
        <v>174</v>
      </c>
    </row>
    <row r="13" spans="2:16" s="7" customFormat="1" ht="12">
      <c r="B13" s="57"/>
      <c r="C13" s="58"/>
      <c r="D13" s="58"/>
      <c r="E13" s="20"/>
      <c r="F13" s="20"/>
      <c r="G13" s="20"/>
      <c r="H13" s="9"/>
      <c r="I13" s="59"/>
      <c r="J13" s="59"/>
      <c r="K13" s="59"/>
      <c r="L13" s="59"/>
      <c r="M13" s="59"/>
      <c r="N13" s="59"/>
      <c r="O13" s="59"/>
      <c r="P13" s="7" t="s">
        <v>175</v>
      </c>
    </row>
    <row r="14" spans="2:16" s="7" customFormat="1" ht="12">
      <c r="B14" s="57" t="s">
        <v>165</v>
      </c>
      <c r="C14" s="58">
        <f>C11</f>
        <v>2</v>
      </c>
      <c r="D14" s="58">
        <f aca="true" t="shared" si="0" ref="D14:N14">D11</f>
        <v>1</v>
      </c>
      <c r="E14" s="58">
        <f t="shared" si="0"/>
        <v>0</v>
      </c>
      <c r="F14" s="58">
        <f t="shared" si="0"/>
        <v>2</v>
      </c>
      <c r="G14" s="58">
        <f t="shared" si="0"/>
        <v>4</v>
      </c>
      <c r="H14" s="58">
        <f t="shared" si="0"/>
        <v>3</v>
      </c>
      <c r="I14" s="58">
        <f t="shared" si="0"/>
        <v>0.9999999999999982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2.0000000000696057</v>
      </c>
      <c r="N14" s="58">
        <f t="shared" si="0"/>
        <v>0</v>
      </c>
      <c r="O14" s="59"/>
      <c r="P14" s="7" t="s">
        <v>176</v>
      </c>
    </row>
    <row r="15" spans="2:16" s="7" customFormat="1" ht="12">
      <c r="B15" s="57" t="s">
        <v>162</v>
      </c>
      <c r="C15" s="58">
        <f>C8-C12</f>
        <v>10</v>
      </c>
      <c r="D15" s="58">
        <f>C15+C14-D12</f>
        <v>12</v>
      </c>
      <c r="E15" s="58">
        <f aca="true" t="shared" si="1" ref="E15:N15">D15+D14-E12</f>
        <v>13</v>
      </c>
      <c r="F15" s="58">
        <f t="shared" si="1"/>
        <v>13</v>
      </c>
      <c r="G15" s="58">
        <f t="shared" si="1"/>
        <v>15</v>
      </c>
      <c r="H15" s="58">
        <f t="shared" si="1"/>
        <v>19</v>
      </c>
      <c r="I15" s="58">
        <f t="shared" si="1"/>
        <v>22</v>
      </c>
      <c r="J15" s="58">
        <f t="shared" si="1"/>
        <v>20</v>
      </c>
      <c r="K15" s="58">
        <f t="shared" si="1"/>
        <v>10</v>
      </c>
      <c r="L15" s="58">
        <f t="shared" si="1"/>
        <v>10</v>
      </c>
      <c r="M15" s="58">
        <f t="shared" si="1"/>
        <v>10</v>
      </c>
      <c r="N15" s="58">
        <f t="shared" si="1"/>
        <v>12.000000000069605</v>
      </c>
      <c r="O15" s="59" t="s">
        <v>268</v>
      </c>
      <c r="P15" s="49">
        <v>12</v>
      </c>
    </row>
    <row r="16" spans="2:15" s="7" customFormat="1" ht="12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2:15" ht="12">
      <c r="B17" s="57" t="s">
        <v>169</v>
      </c>
      <c r="C17" s="9">
        <f>SUMPRODUCT($C$6:$C$7,C14:C15)</f>
        <v>1800</v>
      </c>
      <c r="D17" s="9">
        <f aca="true" t="shared" si="2" ref="D17:N17">SUMPRODUCT($C$6:$C$7,D14:D15)</f>
        <v>2020</v>
      </c>
      <c r="E17" s="9">
        <f t="shared" si="2"/>
        <v>2080</v>
      </c>
      <c r="F17" s="9">
        <f t="shared" si="2"/>
        <v>2280</v>
      </c>
      <c r="G17" s="9">
        <f t="shared" si="2"/>
        <v>2800</v>
      </c>
      <c r="H17" s="9">
        <f t="shared" si="2"/>
        <v>3340</v>
      </c>
      <c r="I17" s="9">
        <f t="shared" si="2"/>
        <v>3620</v>
      </c>
      <c r="J17" s="9">
        <f t="shared" si="2"/>
        <v>3200</v>
      </c>
      <c r="K17" s="9">
        <f t="shared" si="2"/>
        <v>1600</v>
      </c>
      <c r="L17" s="9">
        <f t="shared" si="2"/>
        <v>1600</v>
      </c>
      <c r="M17" s="9">
        <f t="shared" si="2"/>
        <v>1800.0000000069606</v>
      </c>
      <c r="N17" s="9">
        <f t="shared" si="2"/>
        <v>1920.0000000111368</v>
      </c>
      <c r="O17" s="8"/>
    </row>
    <row r="18" spans="2:15" ht="12">
      <c r="B18" s="57"/>
      <c r="C18" s="9" t="s">
        <v>268</v>
      </c>
      <c r="D18" s="9" t="s">
        <v>268</v>
      </c>
      <c r="E18" s="9" t="s">
        <v>268</v>
      </c>
      <c r="F18" s="9" t="s">
        <v>268</v>
      </c>
      <c r="G18" s="9" t="s">
        <v>268</v>
      </c>
      <c r="H18" s="9" t="s">
        <v>268</v>
      </c>
      <c r="I18" s="9" t="s">
        <v>268</v>
      </c>
      <c r="J18" s="9" t="s">
        <v>268</v>
      </c>
      <c r="K18" s="9" t="s">
        <v>268</v>
      </c>
      <c r="L18" s="9" t="s">
        <v>268</v>
      </c>
      <c r="M18" s="9" t="s">
        <v>268</v>
      </c>
      <c r="N18" s="9" t="s">
        <v>268</v>
      </c>
      <c r="O18" s="8"/>
    </row>
    <row r="19" spans="2:15" ht="12">
      <c r="B19" s="57" t="s">
        <v>170</v>
      </c>
      <c r="C19" s="31">
        <v>1600</v>
      </c>
      <c r="D19" s="31">
        <v>2000</v>
      </c>
      <c r="E19" s="31">
        <v>2000</v>
      </c>
      <c r="F19" s="31">
        <v>2000</v>
      </c>
      <c r="G19" s="31">
        <v>2800</v>
      </c>
      <c r="H19" s="31">
        <v>3200</v>
      </c>
      <c r="I19" s="31">
        <v>3600</v>
      </c>
      <c r="J19" s="31">
        <v>3200</v>
      </c>
      <c r="K19" s="31">
        <v>1600</v>
      </c>
      <c r="L19" s="31">
        <v>1200</v>
      </c>
      <c r="M19" s="31">
        <v>800</v>
      </c>
      <c r="N19" s="31">
        <v>800</v>
      </c>
      <c r="O19" s="8"/>
    </row>
    <row r="20" spans="2:15" s="7" customFormat="1" ht="1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59"/>
    </row>
    <row r="21" spans="2:15" ht="12">
      <c r="B21" s="9"/>
      <c r="C21" s="9"/>
      <c r="D21" s="9"/>
      <c r="E21" s="9"/>
      <c r="F21" s="9"/>
      <c r="G21" s="9"/>
      <c r="H21" s="9"/>
      <c r="I21" s="8"/>
      <c r="J21" s="8"/>
      <c r="K21" s="8"/>
      <c r="L21" s="8"/>
      <c r="M21" s="8"/>
      <c r="N21" s="8"/>
      <c r="O21" s="8" t="s">
        <v>260</v>
      </c>
    </row>
    <row r="22" spans="2:15" ht="12">
      <c r="B22" s="57" t="s">
        <v>172</v>
      </c>
      <c r="C22" s="56">
        <f>$C$3*C14</f>
        <v>8000</v>
      </c>
      <c r="D22" s="56">
        <f aca="true" t="shared" si="3" ref="D22:N22">$C$3*D14</f>
        <v>4000</v>
      </c>
      <c r="E22" s="56">
        <f t="shared" si="3"/>
        <v>0</v>
      </c>
      <c r="F22" s="56">
        <f t="shared" si="3"/>
        <v>8000</v>
      </c>
      <c r="G22" s="56">
        <f t="shared" si="3"/>
        <v>16000</v>
      </c>
      <c r="H22" s="56">
        <f t="shared" si="3"/>
        <v>12000</v>
      </c>
      <c r="I22" s="56">
        <f t="shared" si="3"/>
        <v>3999.9999999999927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8000.000000278423</v>
      </c>
      <c r="N22" s="56">
        <f t="shared" si="3"/>
        <v>0</v>
      </c>
      <c r="O22" s="67">
        <f>SUM(C22:N22)</f>
        <v>60000.000000278415</v>
      </c>
    </row>
    <row r="23" spans="2:15" ht="12">
      <c r="B23" s="57" t="s">
        <v>173</v>
      </c>
      <c r="C23" s="56">
        <f>$C$3*C15</f>
        <v>40000</v>
      </c>
      <c r="D23" s="56">
        <f aca="true" t="shared" si="4" ref="D23:N23">$C$3*D15</f>
        <v>48000</v>
      </c>
      <c r="E23" s="56">
        <f t="shared" si="4"/>
        <v>52000</v>
      </c>
      <c r="F23" s="56">
        <f t="shared" si="4"/>
        <v>52000</v>
      </c>
      <c r="G23" s="56">
        <f t="shared" si="4"/>
        <v>60000</v>
      </c>
      <c r="H23" s="56">
        <f t="shared" si="4"/>
        <v>76000</v>
      </c>
      <c r="I23" s="56">
        <f t="shared" si="4"/>
        <v>88000</v>
      </c>
      <c r="J23" s="56">
        <f t="shared" si="4"/>
        <v>80000</v>
      </c>
      <c r="K23" s="56">
        <f t="shared" si="4"/>
        <v>40000</v>
      </c>
      <c r="L23" s="56">
        <f t="shared" si="4"/>
        <v>40000</v>
      </c>
      <c r="M23" s="56">
        <f t="shared" si="4"/>
        <v>40000</v>
      </c>
      <c r="N23" s="56">
        <f t="shared" si="4"/>
        <v>48000.00000027842</v>
      </c>
      <c r="O23" s="67">
        <f>SUM(C23:N23)</f>
        <v>664000.0000002785</v>
      </c>
    </row>
    <row r="24" spans="2:15" ht="12">
      <c r="B24" s="57" t="s">
        <v>171</v>
      </c>
      <c r="C24" s="56">
        <f>$C$4*C11</f>
        <v>5000</v>
      </c>
      <c r="D24" s="56">
        <f aca="true" t="shared" si="5" ref="D24:N24">$C$4*D11</f>
        <v>2500</v>
      </c>
      <c r="E24" s="56">
        <f t="shared" si="5"/>
        <v>0</v>
      </c>
      <c r="F24" s="56">
        <f t="shared" si="5"/>
        <v>5000</v>
      </c>
      <c r="G24" s="56">
        <f t="shared" si="5"/>
        <v>10000</v>
      </c>
      <c r="H24" s="56">
        <f t="shared" si="5"/>
        <v>7500</v>
      </c>
      <c r="I24" s="56">
        <f t="shared" si="5"/>
        <v>2499.9999999999955</v>
      </c>
      <c r="J24" s="56">
        <f t="shared" si="5"/>
        <v>0</v>
      </c>
      <c r="K24" s="56">
        <f t="shared" si="5"/>
        <v>0</v>
      </c>
      <c r="L24" s="56">
        <f t="shared" si="5"/>
        <v>0</v>
      </c>
      <c r="M24" s="56">
        <f t="shared" si="5"/>
        <v>5000.0000001740145</v>
      </c>
      <c r="N24" s="56">
        <f t="shared" si="5"/>
        <v>0</v>
      </c>
      <c r="O24" s="67">
        <f>SUM(C24:N24)</f>
        <v>37500.00000017401</v>
      </c>
    </row>
    <row r="25" spans="2:15" ht="12.75" thickBot="1">
      <c r="B25" s="65" t="s">
        <v>161</v>
      </c>
      <c r="C25" s="67">
        <f>$C$5*C12</f>
        <v>0</v>
      </c>
      <c r="D25" s="67">
        <f aca="true" t="shared" si="6" ref="D25:N25">$C$5*D12</f>
        <v>0</v>
      </c>
      <c r="E25" s="67">
        <f t="shared" si="6"/>
        <v>0</v>
      </c>
      <c r="F25" s="67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>
        <f t="shared" si="6"/>
        <v>6000</v>
      </c>
      <c r="K25" s="67">
        <f t="shared" si="6"/>
        <v>20000</v>
      </c>
      <c r="L25" s="67">
        <f t="shared" si="6"/>
        <v>0</v>
      </c>
      <c r="M25" s="67">
        <f t="shared" si="6"/>
        <v>0</v>
      </c>
      <c r="N25" s="67">
        <f t="shared" si="6"/>
        <v>0</v>
      </c>
      <c r="O25" s="67">
        <f>SUM(C25:N25)</f>
        <v>26000</v>
      </c>
    </row>
    <row r="26" spans="2:15" ht="12.75" thickBot="1">
      <c r="B26" s="65" t="s">
        <v>265</v>
      </c>
      <c r="C26" s="67">
        <f>SUM(C22:C25)</f>
        <v>53000</v>
      </c>
      <c r="D26" s="67">
        <f aca="true" t="shared" si="7" ref="D26:N26">SUM(D22:D25)</f>
        <v>54500</v>
      </c>
      <c r="E26" s="67">
        <f t="shared" si="7"/>
        <v>52000</v>
      </c>
      <c r="F26" s="67">
        <f t="shared" si="7"/>
        <v>65000</v>
      </c>
      <c r="G26" s="67">
        <f t="shared" si="7"/>
        <v>86000</v>
      </c>
      <c r="H26" s="67">
        <f t="shared" si="7"/>
        <v>95500</v>
      </c>
      <c r="I26" s="67">
        <f t="shared" si="7"/>
        <v>94500</v>
      </c>
      <c r="J26" s="67">
        <f t="shared" si="7"/>
        <v>86000</v>
      </c>
      <c r="K26" s="67">
        <f t="shared" si="7"/>
        <v>60000</v>
      </c>
      <c r="L26" s="67">
        <f t="shared" si="7"/>
        <v>40000</v>
      </c>
      <c r="M26" s="67">
        <f t="shared" si="7"/>
        <v>53000.00000045243</v>
      </c>
      <c r="N26" s="67">
        <f t="shared" si="7"/>
        <v>48000.00000027842</v>
      </c>
      <c r="O26" s="23">
        <f>SUM(C26:N26)</f>
        <v>787500.0000007309</v>
      </c>
    </row>
    <row r="27" spans="2:15" ht="12">
      <c r="B27" s="8"/>
      <c r="C27" s="8"/>
      <c r="D27" s="8"/>
      <c r="E27" s="8"/>
      <c r="F27" s="8"/>
      <c r="H27" s="8"/>
      <c r="I27" s="8"/>
      <c r="J27" s="8"/>
      <c r="K27" s="8"/>
      <c r="L27" s="8"/>
      <c r="M27" s="8"/>
      <c r="N27" s="8"/>
      <c r="O27" s="8"/>
    </row>
    <row r="28" spans="2:15" ht="12">
      <c r="B28" s="8"/>
      <c r="C28" s="8"/>
      <c r="D28" s="8"/>
      <c r="E28" s="8"/>
      <c r="F28" s="8"/>
      <c r="H28" s="8"/>
      <c r="I28" s="8"/>
      <c r="J28" s="8"/>
      <c r="K28" s="8"/>
      <c r="L28" s="8"/>
      <c r="M28" s="8"/>
      <c r="N28" s="8"/>
      <c r="O28" s="8"/>
    </row>
    <row r="29" spans="2:15" ht="12">
      <c r="B29" s="8"/>
      <c r="C29" s="8"/>
      <c r="D29" s="8"/>
      <c r="E29" s="8"/>
      <c r="F29" s="8"/>
      <c r="H29" s="8"/>
      <c r="I29" s="8"/>
      <c r="J29" s="8"/>
      <c r="K29" s="8"/>
      <c r="L29" s="8"/>
      <c r="M29" s="8"/>
      <c r="N29" s="8"/>
      <c r="O29" s="8"/>
    </row>
    <row r="30" spans="2:15" ht="12">
      <c r="B30" s="8"/>
      <c r="C30" s="8"/>
      <c r="D30" s="8"/>
      <c r="E30" s="8"/>
      <c r="F30" s="8"/>
      <c r="H30" s="8"/>
      <c r="I30" s="8"/>
      <c r="J30" s="8"/>
      <c r="K30" s="8"/>
      <c r="L30" s="8"/>
      <c r="M30" s="8"/>
      <c r="N30" s="8"/>
      <c r="O30" s="8"/>
    </row>
    <row r="31" spans="2:15" ht="12">
      <c r="B31" s="8"/>
      <c r="C31" s="8"/>
      <c r="D31" s="8"/>
      <c r="E31" s="8"/>
      <c r="F31" s="8"/>
      <c r="H31" s="8"/>
      <c r="I31" s="8"/>
      <c r="J31" s="8"/>
      <c r="K31" s="8"/>
      <c r="L31" s="8"/>
      <c r="M31" s="8"/>
      <c r="N31" s="8"/>
      <c r="O31" s="8"/>
    </row>
    <row r="32" spans="2:15" ht="12">
      <c r="B32" s="8"/>
      <c r="C32" s="8"/>
      <c r="D32" s="8"/>
      <c r="E32" s="8"/>
      <c r="F32" s="8"/>
      <c r="H32" s="8"/>
      <c r="I32" s="8"/>
      <c r="J32" s="8"/>
      <c r="K32" s="8"/>
      <c r="L32" s="8"/>
      <c r="M32" s="8"/>
      <c r="N32" s="8"/>
      <c r="O32" s="8"/>
    </row>
    <row r="33" spans="2:15" ht="12">
      <c r="B33" s="8"/>
      <c r="C33" s="8"/>
      <c r="D33" s="8"/>
      <c r="E33" s="8"/>
      <c r="F33" s="8"/>
      <c r="H33" s="8"/>
      <c r="I33" s="8"/>
      <c r="J33" s="8"/>
      <c r="K33" s="8"/>
      <c r="L33" s="8"/>
      <c r="M33" s="8"/>
      <c r="N33" s="8"/>
      <c r="O33" s="8"/>
    </row>
    <row r="34" spans="2:15" ht="12">
      <c r="B34" s="8"/>
      <c r="C34" s="8"/>
      <c r="D34" s="8"/>
      <c r="E34" s="8"/>
      <c r="F34" s="8"/>
      <c r="H34" s="8"/>
      <c r="I34" s="8"/>
      <c r="J34" s="8"/>
      <c r="K34" s="8"/>
      <c r="L34" s="8"/>
      <c r="M34" s="8"/>
      <c r="N34" s="8"/>
      <c r="O34" s="8"/>
    </row>
    <row r="35" spans="2:15" ht="12">
      <c r="B35" s="8"/>
      <c r="C35" s="8"/>
      <c r="D35" s="8"/>
      <c r="E35" s="8"/>
      <c r="F35" s="8"/>
      <c r="H35" s="8"/>
      <c r="I35" s="8"/>
      <c r="J35" s="8"/>
      <c r="K35" s="8"/>
      <c r="L35" s="8"/>
      <c r="M35" s="8"/>
      <c r="N35" s="8"/>
      <c r="O35" s="8"/>
    </row>
    <row r="36" spans="2:15" ht="12">
      <c r="B36" s="8"/>
      <c r="C36" s="8"/>
      <c r="D36" s="8"/>
      <c r="E36" s="8"/>
      <c r="F36" s="8"/>
      <c r="H36" s="8"/>
      <c r="I36" s="8"/>
      <c r="J36" s="8"/>
      <c r="K36" s="8"/>
      <c r="L36" s="8"/>
      <c r="M36" s="8"/>
      <c r="N36" s="8"/>
      <c r="O36" s="8"/>
    </row>
    <row r="37" spans="2:15" ht="12">
      <c r="B37" s="8"/>
      <c r="C37" s="8"/>
      <c r="D37" s="8"/>
      <c r="E37" s="8"/>
      <c r="F37" s="8"/>
      <c r="H37" s="8"/>
      <c r="I37" s="8"/>
      <c r="J37" s="8"/>
      <c r="K37" s="8"/>
      <c r="L37" s="8"/>
      <c r="M37" s="8"/>
      <c r="N37" s="8"/>
      <c r="O37" s="8"/>
    </row>
  </sheetData>
  <printOptions gridLines="1" headings="1"/>
  <pageMargins left="0.75" right="0.75" top="1" bottom="1" header="0.5" footer="0.5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MHE</cp:lastModifiedBy>
  <cp:lastPrinted>2006-05-13T23:43:55Z</cp:lastPrinted>
  <dcterms:created xsi:type="dcterms:W3CDTF">2000-03-28T18:15:50Z</dcterms:created>
  <dcterms:modified xsi:type="dcterms:W3CDTF">2007-01-30T21:13:30Z</dcterms:modified>
  <cp:category/>
  <cp:version/>
  <cp:contentType/>
  <cp:contentStatus/>
</cp:coreProperties>
</file>